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tabRatio="992" activeTab="0"/>
  </bookViews>
  <sheets>
    <sheet name="25-180-08" sheetId="1" r:id="rId1"/>
    <sheet name="25-210-08" sheetId="2" r:id="rId2"/>
    <sheet name="25-240-15" sheetId="3" r:id="rId3"/>
    <sheet name="25-270-15" sheetId="4" r:id="rId4"/>
    <sheet name="20-400-15" sheetId="5" r:id="rId5"/>
  </sheets>
  <definedNames>
    <definedName name="_xlnm.Print_Area" localSheetId="4">'20-400-15'!$A$1:$U$265</definedName>
    <definedName name="_xlnm.Print_Area" localSheetId="0">'25-180-08'!$A$1:$U$266</definedName>
    <definedName name="_xlnm.Print_Area" localSheetId="1">'25-210-08'!$A$1:$U$262</definedName>
    <definedName name="_xlnm.Print_Area" localSheetId="2">'25-240-15'!$A$1:$T$263</definedName>
    <definedName name="_xlnm.Print_Area" localSheetId="3">'25-270-15'!$A$1:$U$265</definedName>
  </definedNames>
  <calcPr fullCalcOnLoad="1"/>
</workbook>
</file>

<file path=xl/sharedStrings.xml><?xml version="1.0" encoding="utf-8"?>
<sst xmlns="http://schemas.openxmlformats.org/spreadsheetml/2006/main" count="4232" uniqueCount="202">
  <si>
    <t>레디믹스트 콘크리트 배합설계서</t>
  </si>
  <si>
    <t>1. 설계조건  ( 규격 :</t>
  </si>
  <si>
    <t>­</t>
  </si>
  <si>
    <t>)</t>
  </si>
  <si>
    <t>설계기준강도 (Fck)</t>
  </si>
  <si>
    <t>kgf/㎠</t>
  </si>
  <si>
    <t>굵은골재 최대치수</t>
  </si>
  <si>
    <t>m/m</t>
  </si>
  <si>
    <t>슬      럼      프</t>
  </si>
  <si>
    <t>㎝</t>
  </si>
  <si>
    <t>공      기      량</t>
  </si>
  <si>
    <t>%</t>
  </si>
  <si>
    <t>표  준  편  차 ( σ )</t>
  </si>
  <si>
    <t>변  동  계  수 ( V )</t>
  </si>
  <si>
    <t>할  증  계  수 ( α )</t>
  </si>
  <si>
    <t>잔 골 재  흡 수 율</t>
  </si>
  <si>
    <t>잔  골  재  비 중</t>
  </si>
  <si>
    <t>굵은골재  흡 수 율</t>
  </si>
  <si>
    <t xml:space="preserve">굵 은 골 재  비 중 </t>
  </si>
  <si>
    <t>시  멘  트  비  중</t>
  </si>
  <si>
    <t>잔 골 재  조 립 율</t>
  </si>
  <si>
    <t>혼  화  제  종 류</t>
  </si>
  <si>
    <t>AE감수제 표준형</t>
  </si>
  <si>
    <t>2. 배합강도 결정</t>
  </si>
  <si>
    <t xml:space="preserve">  제 1조건 : </t>
  </si>
  <si>
    <t xml:space="preserve"> Fcr  ≥ Fck ＋ 1.64s(kg/㎠)</t>
  </si>
  <si>
    <t>=</t>
  </si>
  <si>
    <t>＋</t>
  </si>
  <si>
    <t>×</t>
  </si>
  <si>
    <t xml:space="preserve"> ≒</t>
  </si>
  <si>
    <t xml:space="preserve">  제 2조건 :</t>
  </si>
  <si>
    <t xml:space="preserve"> Fcr  ≥0.85 Fck ＋ 3s(kg/㎠)</t>
  </si>
  <si>
    <t>≒</t>
  </si>
  <si>
    <t xml:space="preserve">  ※  S </t>
  </si>
  <si>
    <t>:</t>
  </si>
  <si>
    <t>압축강도의 표준편차(kgf/㎠)</t>
  </si>
  <si>
    <t xml:space="preserve">  ※ 배합강도의 결정은 두 식에 의한 값중 큰값을 적용함</t>
  </si>
  <si>
    <t>배  합  강  도</t>
  </si>
  <si>
    <t>(Fcr)</t>
  </si>
  <si>
    <t>(Kgf/㎠)</t>
  </si>
  <si>
    <t>3. 물.시멘트비(W/C) 결정</t>
  </si>
  <si>
    <t xml:space="preserve">  1) 압축강도에 소요되는 W/C</t>
  </si>
  <si>
    <t xml:space="preserve"> </t>
  </si>
  <si>
    <t>f28</t>
  </si>
  <si>
    <t>+</t>
  </si>
  <si>
    <t>C/W</t>
  </si>
  <si>
    <t>에서 구한다.</t>
  </si>
  <si>
    <t>W/C</t>
  </si>
  <si>
    <t>(</t>
  </si>
  <si>
    <t>))</t>
  </si>
  <si>
    <t xml:space="preserve">  2) 기상작용이 심하지 않고 빙점이하로 내려가는 경우가 드문경우 </t>
  </si>
  <si>
    <t>%이하</t>
  </si>
  <si>
    <t xml:space="preserve">  3) 수밀성에 소요되는 W/C=</t>
  </si>
  <si>
    <t>%이하를 표준으로 한다.</t>
  </si>
  <si>
    <t xml:space="preserve">  4) 내구성에 소요되는 W/C=</t>
  </si>
  <si>
    <t>55%~60%</t>
  </si>
  <si>
    <t>로 한다.</t>
  </si>
  <si>
    <t>∴</t>
  </si>
  <si>
    <t xml:space="preserve">W/C값은 1),2),3),4) 를 만족하는 최하의 값 </t>
  </si>
  <si>
    <t>%로 한다.</t>
  </si>
  <si>
    <t>4. R.C 시방서를 참고조건으로 한다.</t>
  </si>
  <si>
    <t xml:space="preserve">   </t>
  </si>
  <si>
    <t>슬럼프 :</t>
  </si>
  <si>
    <t>cm</t>
  </si>
  <si>
    <t>조립률 :</t>
  </si>
  <si>
    <t>굵은골재최대치수</t>
  </si>
  <si>
    <t>S / A</t>
  </si>
  <si>
    <t>W</t>
  </si>
  <si>
    <t>AIR</t>
  </si>
  <si>
    <t>비   고</t>
  </si>
  <si>
    <t xml:space="preserve">  1) 잔골재율(S/A)결정</t>
  </si>
  <si>
    <t>조      건</t>
  </si>
  <si>
    <t>보   정    치</t>
  </si>
  <si>
    <t>값(%)</t>
  </si>
  <si>
    <t>조   립   율</t>
  </si>
  <si>
    <t>-</t>
  </si>
  <si>
    <t>÷</t>
  </si>
  <si>
    <t>W / C</t>
  </si>
  <si>
    <t>공   기   량</t>
  </si>
  <si>
    <t>쇄석을 사용할경우</t>
  </si>
  <si>
    <t>~</t>
  </si>
  <si>
    <t>S/A</t>
  </si>
  <si>
    <t xml:space="preserve">  2) 단위수량(W) 결정</t>
  </si>
  <si>
    <t>슬   럼   프</t>
  </si>
  <si>
    <t>5. 시방배합 산출</t>
  </si>
  <si>
    <t xml:space="preserve">  -</t>
  </si>
  <si>
    <t>단위시멘트량 결정</t>
  </si>
  <si>
    <t>추정식에서 구한 W/C =</t>
  </si>
  <si>
    <t>%에서 W=</t>
  </si>
  <si>
    <t>Kg</t>
  </si>
  <si>
    <t>이므로</t>
  </si>
  <si>
    <t>C =</t>
  </si>
  <si>
    <t>시멘트 용적 :</t>
  </si>
  <si>
    <t>L</t>
  </si>
  <si>
    <t>공기 연행량 :</t>
  </si>
  <si>
    <t>전골재의 용적 :</t>
  </si>
  <si>
    <t>1 -</t>
  </si>
  <si>
    <t>㎥</t>
  </si>
  <si>
    <t>잔골재의 용적 :</t>
  </si>
  <si>
    <t>굵은골재의 용적 :</t>
  </si>
  <si>
    <t>잔골재의 중량 :</t>
  </si>
  <si>
    <t>굵은골재의 중량 :</t>
  </si>
  <si>
    <t>혼화제의 중량 :</t>
  </si>
  <si>
    <t>6. 시험 비비기</t>
  </si>
  <si>
    <t xml:space="preserve">  (1) 제 1 시험 배치</t>
  </si>
  <si>
    <t xml:space="preserve">   1) 배합표</t>
  </si>
  <si>
    <t>구  분</t>
  </si>
  <si>
    <t>슬 럼 프</t>
  </si>
  <si>
    <t>단위재료량(Kg/㎥)</t>
  </si>
  <si>
    <t>(%)</t>
  </si>
  <si>
    <t>(cm)</t>
  </si>
  <si>
    <t>C</t>
  </si>
  <si>
    <t>S</t>
  </si>
  <si>
    <t>G</t>
  </si>
  <si>
    <t>AD</t>
  </si>
  <si>
    <t>40L</t>
  </si>
  <si>
    <t xml:space="preserve">   2) 시험결과</t>
  </si>
  <si>
    <t>슬럼프(cm)</t>
  </si>
  <si>
    <t>공  기  량 (%)</t>
  </si>
  <si>
    <t>워커빌리티</t>
  </si>
  <si>
    <t>비     고</t>
  </si>
  <si>
    <t>불  량</t>
  </si>
  <si>
    <t>ㄱ) S/A 보정</t>
  </si>
  <si>
    <t>1차 결정치</t>
  </si>
  <si>
    <t>보정하지 않는다.</t>
  </si>
  <si>
    <t>ㄴ) W 보정</t>
  </si>
  <si>
    <t>ㄷ) 2차 시방배합 산출</t>
  </si>
  <si>
    <t xml:space="preserve"> (2) 제2배치시험</t>
  </si>
  <si>
    <t xml:space="preserve">   3) 제2배치 시험결과에 대한 조건 보정을 한다.</t>
  </si>
  <si>
    <t>2차 결정치</t>
  </si>
  <si>
    <t>ㄷ) 3차 시방배합 산출</t>
  </si>
  <si>
    <t xml:space="preserve"> (2) 제3배치시험</t>
  </si>
  <si>
    <t>양   호</t>
  </si>
  <si>
    <t>제작을 하기로 한다.</t>
  </si>
  <si>
    <t xml:space="preserve">  (1) 제1배치 단위 재료량</t>
  </si>
  <si>
    <t>조건 W/C=</t>
  </si>
  <si>
    <t>S/A=</t>
  </si>
  <si>
    <t>W=</t>
  </si>
  <si>
    <t xml:space="preserve">  (2) 제2배치 단위 재료량</t>
  </si>
  <si>
    <t xml:space="preserve">  (3) 제3배치 단위 재료량</t>
  </si>
  <si>
    <t xml:space="preserve">  (4) 시험 비비기 및 시험결과</t>
  </si>
  <si>
    <t>시 험 결 과</t>
  </si>
  <si>
    <t>슬</t>
  </si>
  <si>
    <t>공</t>
  </si>
  <si>
    <t>압축강도</t>
  </si>
  <si>
    <t>1배치</t>
  </si>
  <si>
    <t>2배치</t>
  </si>
  <si>
    <t>3배치</t>
  </si>
  <si>
    <t xml:space="preserve">  (5) W/C와 압축강도 관계식 추정 및 W/C결정</t>
  </si>
  <si>
    <t xml:space="preserve">  </t>
  </si>
  <si>
    <t>W/C와 압축강도가 일차 관계에 있으므로</t>
  </si>
  <si>
    <t>Y</t>
  </si>
  <si>
    <t>a</t>
  </si>
  <si>
    <t>b C/W</t>
  </si>
  <si>
    <t>로 정의한다. (Y는 배합강도)</t>
  </si>
  <si>
    <t>위의 실험결과를 토대로 표를 작성하면</t>
  </si>
  <si>
    <t>NO</t>
  </si>
  <si>
    <t>X</t>
  </si>
  <si>
    <t>XX</t>
  </si>
  <si>
    <t>XY</t>
  </si>
  <si>
    <t>계</t>
  </si>
  <si>
    <t>최소자승법에 의해 a,b</t>
  </si>
  <si>
    <t>a=</t>
  </si>
  <si>
    <t>∑xxi∑yi -</t>
  </si>
  <si>
    <t>∑xi∑xyi</t>
  </si>
  <si>
    <t>3∑xxi</t>
  </si>
  <si>
    <t>b=</t>
  </si>
  <si>
    <t>3∑xyi</t>
  </si>
  <si>
    <t>∑xi∑yi</t>
  </si>
  <si>
    <t>배합강도= a+b C/W의 관계식에 의해</t>
  </si>
  <si>
    <t xml:space="preserve"> W/C와 압축강도 그래프를 사용추정</t>
  </si>
  <si>
    <t>8.시방배합 설정</t>
  </si>
  <si>
    <t>9. 시방배합</t>
  </si>
  <si>
    <t xml:space="preserve">  (1) 배합표</t>
  </si>
  <si>
    <t xml:space="preserve">  (2) 시험결과</t>
  </si>
  <si>
    <t xml:space="preserve">  (3) 시방배합</t>
  </si>
  <si>
    <t>슬럼프</t>
  </si>
  <si>
    <t>T</t>
  </si>
  <si>
    <t xml:space="preserve">  (4) 시방배합 확인 시험결과</t>
  </si>
  <si>
    <t>공기량</t>
  </si>
  <si>
    <t>압축강도(Kgf/㎠)</t>
  </si>
  <si>
    <t>(㎝)</t>
  </si>
  <si>
    <t>구 분</t>
  </si>
  <si>
    <t>7 일</t>
  </si>
  <si>
    <t>28 일</t>
  </si>
  <si>
    <t>x1</t>
  </si>
  <si>
    <t>1 Batch</t>
  </si>
  <si>
    <t>x2</t>
  </si>
  <si>
    <t>시  험</t>
  </si>
  <si>
    <t>x3</t>
  </si>
  <si>
    <t>평  균</t>
  </si>
  <si>
    <t>2 Batch</t>
  </si>
  <si>
    <t>3 Batch</t>
  </si>
  <si>
    <t>평   균</t>
  </si>
  <si>
    <t>비    고</t>
  </si>
  <si>
    <r>
      <t>÷</t>
    </r>
    <r>
      <rPr>
        <sz val="10"/>
        <rFont val="바탕체"/>
        <family val="1"/>
      </rPr>
      <t>(</t>
    </r>
  </si>
  <si>
    <r>
      <t>×</t>
    </r>
    <r>
      <rPr>
        <sz val="10"/>
        <rFont val="바탕체"/>
        <family val="1"/>
      </rPr>
      <t>100</t>
    </r>
  </si>
  <si>
    <r>
      <t xml:space="preserve">7. 제3배치 시험결과 만족함으로 W/C를 결정하기 위해 W/C값을 </t>
    </r>
    <r>
      <rPr>
        <sz val="10"/>
        <rFont val="Times New Roman"/>
        <family val="1"/>
      </rPr>
      <t>±</t>
    </r>
    <r>
      <rPr>
        <sz val="10"/>
        <rFont val="바탕체"/>
        <family val="1"/>
      </rPr>
      <t>5%씩 증감하여 공시체</t>
    </r>
  </si>
  <si>
    <r>
      <t>(∑xi)</t>
    </r>
    <r>
      <rPr>
        <sz val="10"/>
        <rFont val="Times New Roman"/>
        <family val="1"/>
      </rPr>
      <t>²</t>
    </r>
  </si>
  <si>
    <t>고성능AE감수제표준형</t>
  </si>
  <si>
    <r>
      <t>(</t>
    </r>
    <r>
      <rPr>
        <sz val="10"/>
        <rFont val="바탕체"/>
        <family val="1"/>
      </rPr>
      <t>40mm 골재를 레미콘 회사에서는 25mm골재를 사용)(40-180-8 ~ 25-180-8)</t>
    </r>
  </si>
  <si>
    <t>레디믹스트 콘크리트 배합설계서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</si>
</sst>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_ * #,##0_ ;_ * \-#,##0_ ;_ * &quot;-&quot;_ ;_ @_ "/>
    <numFmt numFmtId="180" formatCode="_ * #,##0.00_ ;_ * \-#,##0.00_ ;_ * &quot;-&quot;??_ ;_ @_ "/>
  </numFmts>
  <fonts count="8">
    <font>
      <sz val="11"/>
      <name val="돋움"/>
      <family val="0"/>
    </font>
    <font>
      <sz val="10"/>
      <name val="바탕체"/>
      <family val="1"/>
    </font>
    <font>
      <b/>
      <sz val="20"/>
      <name val="순명조"/>
      <family val="1"/>
    </font>
    <font>
      <sz val="20"/>
      <name val="순명조"/>
      <family val="1"/>
    </font>
    <font>
      <sz val="20"/>
      <name val="바탕체"/>
      <family val="1"/>
    </font>
    <font>
      <sz val="10"/>
      <name val="Times New Roman"/>
      <family val="1"/>
    </font>
    <font>
      <sz val="9"/>
      <name val="바탕체"/>
      <family val="1"/>
    </font>
    <font>
      <sz val="8"/>
      <name val="바탕체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</cellStyleXfs>
  <cellXfs count="142">
    <xf numFmtId="0" fontId="0" fillId="0" borderId="0" xfId="0" applyAlignment="1">
      <alignment/>
    </xf>
    <xf numFmtId="0" fontId="2" fillId="0" borderId="0" xfId="22" applyFont="1" applyAlignment="1">
      <alignment horizontal="centerContinuous" vertical="top"/>
      <protection/>
    </xf>
    <xf numFmtId="0" fontId="3" fillId="0" borderId="0" xfId="22" applyFont="1" applyAlignment="1">
      <alignment horizontal="centerContinuous" vertical="top"/>
      <protection/>
    </xf>
    <xf numFmtId="0" fontId="3" fillId="0" borderId="0" xfId="22" applyFont="1" applyBorder="1" applyAlignment="1">
      <alignment horizontal="centerContinuous" vertical="top"/>
      <protection/>
    </xf>
    <xf numFmtId="0" fontId="4" fillId="0" borderId="0" xfId="22" applyFont="1" applyBorder="1" applyAlignment="1">
      <alignment horizontal="centerContinuous" vertical="top"/>
      <protection/>
    </xf>
    <xf numFmtId="0" fontId="4" fillId="0" borderId="0" xfId="22" applyFont="1" applyBorder="1" applyAlignment="1" quotePrefix="1">
      <alignment horizontal="centerContinuous" vertical="top"/>
      <protection/>
    </xf>
    <xf numFmtId="0" fontId="4" fillId="0" borderId="0" xfId="22" applyFont="1" applyAlignment="1">
      <alignment vertical="top"/>
      <protection/>
    </xf>
    <xf numFmtId="0" fontId="1" fillId="0" borderId="0" xfId="22">
      <alignment/>
      <protection/>
    </xf>
    <xf numFmtId="0" fontId="1" fillId="0" borderId="0" xfId="22" applyFont="1" applyAlignment="1" quotePrefix="1">
      <alignment horizontal="left"/>
      <protection/>
    </xf>
    <xf numFmtId="0" fontId="1" fillId="0" borderId="0" xfId="22" applyFont="1" applyAlignment="1">
      <alignment horizontal="center"/>
      <protection/>
    </xf>
    <xf numFmtId="1" fontId="1" fillId="0" borderId="0" xfId="22" applyNumberFormat="1" applyFont="1" applyAlignment="1">
      <alignment horizontal="center"/>
      <protection/>
    </xf>
    <xf numFmtId="0" fontId="1" fillId="0" borderId="0" xfId="22" applyFont="1" applyAlignment="1">
      <alignment/>
      <protection/>
    </xf>
    <xf numFmtId="0" fontId="5" fillId="0" borderId="0" xfId="22" applyFont="1" applyAlignment="1">
      <alignment horizontal="center"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 applyAlignment="1">
      <alignment horizontal="centerContinuous"/>
      <protection/>
    </xf>
    <xf numFmtId="0" fontId="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>
      <alignment horizontal="center" vertical="center"/>
      <protection/>
    </xf>
    <xf numFmtId="1" fontId="1" fillId="0" borderId="0" xfId="22" applyNumberFormat="1" applyFont="1" applyAlignment="1">
      <alignment horizontal="center" vertical="center"/>
      <protection/>
    </xf>
    <xf numFmtId="0" fontId="1" fillId="0" borderId="0" xfId="22" applyAlignment="1">
      <alignment vertical="center"/>
      <protection/>
    </xf>
    <xf numFmtId="0" fontId="1" fillId="0" borderId="0" xfId="22" applyBorder="1" applyAlignment="1">
      <alignment vertical="center"/>
      <protection/>
    </xf>
    <xf numFmtId="0" fontId="1" fillId="0" borderId="0" xfId="22" applyBorder="1" applyAlignment="1">
      <alignment horizontal="centerContinuous" vertical="center"/>
      <protection/>
    </xf>
    <xf numFmtId="0" fontId="1" fillId="0" borderId="1" xfId="22" applyBorder="1" applyAlignment="1" quotePrefix="1">
      <alignment horizontal="centerContinuous" vertical="center"/>
      <protection/>
    </xf>
    <xf numFmtId="0" fontId="1" fillId="0" borderId="2" xfId="22" applyBorder="1" applyAlignment="1">
      <alignment horizontal="centerContinuous" vertical="center"/>
      <protection/>
    </xf>
    <xf numFmtId="0" fontId="1" fillId="0" borderId="3" xfId="22" applyBorder="1" applyAlignment="1">
      <alignment horizontal="centerContinuous" vertical="center"/>
      <protection/>
    </xf>
    <xf numFmtId="0" fontId="1" fillId="0" borderId="1" xfId="22" applyBorder="1" applyAlignment="1">
      <alignment horizontal="centerContinuous" vertical="center"/>
      <protection/>
    </xf>
    <xf numFmtId="1" fontId="1" fillId="0" borderId="2" xfId="22" applyNumberFormat="1" applyBorder="1" applyAlignment="1">
      <alignment horizontal="centerContinuous" vertical="center"/>
      <protection/>
    </xf>
    <xf numFmtId="2" fontId="1" fillId="0" borderId="2" xfId="22" applyNumberFormat="1" applyBorder="1" applyAlignment="1">
      <alignment horizontal="centerContinuous" vertical="center"/>
      <protection/>
    </xf>
    <xf numFmtId="176" fontId="1" fillId="0" borderId="2" xfId="22" applyNumberFormat="1" applyBorder="1" applyAlignment="1">
      <alignment horizontal="centerContinuous" vertical="center"/>
      <protection/>
    </xf>
    <xf numFmtId="0" fontId="1" fillId="0" borderId="0" xfId="22" applyBorder="1" applyAlignment="1" quotePrefix="1">
      <alignment horizontal="centerContinuous" vertical="center"/>
      <protection/>
    </xf>
    <xf numFmtId="0" fontId="1" fillId="0" borderId="0" xfId="22" applyBorder="1" applyAlignment="1" quotePrefix="1">
      <alignment vertical="center"/>
      <protection/>
    </xf>
    <xf numFmtId="0" fontId="1" fillId="0" borderId="4" xfId="22" applyBorder="1" applyAlignment="1">
      <alignment horizontal="centerContinuous"/>
      <protection/>
    </xf>
    <xf numFmtId="0" fontId="1" fillId="0" borderId="5" xfId="22" applyBorder="1" applyAlignment="1">
      <alignment horizontal="centerContinuous"/>
      <protection/>
    </xf>
    <xf numFmtId="0" fontId="1" fillId="0" borderId="5" xfId="22" applyBorder="1" applyAlignment="1" quotePrefix="1">
      <alignment horizontal="left"/>
      <protection/>
    </xf>
    <xf numFmtId="0" fontId="1" fillId="0" borderId="5" xfId="22" applyBorder="1" applyAlignment="1">
      <alignment/>
      <protection/>
    </xf>
    <xf numFmtId="2" fontId="1" fillId="0" borderId="5" xfId="22" applyNumberFormat="1" applyBorder="1" applyAlignment="1" quotePrefix="1">
      <alignment horizontal="left"/>
      <protection/>
    </xf>
    <xf numFmtId="176" fontId="1" fillId="0" borderId="5" xfId="22" applyNumberFormat="1" applyBorder="1" applyAlignment="1">
      <alignment horizontal="left"/>
      <protection/>
    </xf>
    <xf numFmtId="0" fontId="1" fillId="0" borderId="5" xfId="22" applyBorder="1" applyAlignment="1">
      <alignment horizontal="center"/>
      <protection/>
    </xf>
    <xf numFmtId="0" fontId="1" fillId="0" borderId="5" xfId="22" applyBorder="1">
      <alignment/>
      <protection/>
    </xf>
    <xf numFmtId="0" fontId="1" fillId="0" borderId="6" xfId="22" applyBorder="1" applyAlignment="1">
      <alignment/>
      <protection/>
    </xf>
    <xf numFmtId="0" fontId="1" fillId="0" borderId="0" xfId="22" applyAlignment="1">
      <alignment/>
      <protection/>
    </xf>
    <xf numFmtId="0" fontId="1" fillId="0" borderId="7" xfId="22" applyBorder="1" applyAlignment="1">
      <alignment horizontal="centerContinuous" vertical="center"/>
      <protection/>
    </xf>
    <xf numFmtId="0" fontId="1" fillId="0" borderId="0" xfId="22" applyBorder="1" applyAlignment="1" quotePrefix="1">
      <alignment horizontal="left" vertical="center"/>
      <protection/>
    </xf>
    <xf numFmtId="2" fontId="6" fillId="0" borderId="0" xfId="22" applyNumberFormat="1" applyFont="1" applyBorder="1" applyAlignment="1" quotePrefix="1">
      <alignment horizontal="left" vertical="center"/>
      <protection/>
    </xf>
    <xf numFmtId="0" fontId="5" fillId="0" borderId="0" xfId="22" applyFont="1" applyBorder="1" applyAlignment="1" quotePrefix="1">
      <alignment horizontal="left" vertical="center"/>
      <protection/>
    </xf>
    <xf numFmtId="176" fontId="1" fillId="0" borderId="0" xfId="22" applyNumberFormat="1" applyBorder="1" applyAlignment="1">
      <alignment horizontal="left" vertical="center"/>
      <protection/>
    </xf>
    <xf numFmtId="0" fontId="1" fillId="0" borderId="0" xfId="22" applyBorder="1" applyAlignment="1">
      <alignment horizontal="center" vertical="center"/>
      <protection/>
    </xf>
    <xf numFmtId="0" fontId="1" fillId="0" borderId="8" xfId="22" applyBorder="1" applyAlignment="1">
      <alignment vertical="center"/>
      <protection/>
    </xf>
    <xf numFmtId="0" fontId="1" fillId="0" borderId="7" xfId="22" applyBorder="1" applyAlignment="1" quotePrefix="1">
      <alignment horizontal="left"/>
      <protection/>
    </xf>
    <xf numFmtId="0" fontId="1" fillId="0" borderId="0" xfId="22" applyBorder="1" applyAlignment="1">
      <alignment/>
      <protection/>
    </xf>
    <xf numFmtId="0" fontId="1" fillId="0" borderId="0" xfId="22" applyBorder="1" applyAlignment="1" quotePrefix="1">
      <alignment horizontal="left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Border="1" applyAlignment="1">
      <alignment horizontal="center"/>
      <protection/>
    </xf>
    <xf numFmtId="176" fontId="1" fillId="0" borderId="0" xfId="22" applyNumberFormat="1" applyBorder="1" applyAlignment="1">
      <alignment horizontal="left"/>
      <protection/>
    </xf>
    <xf numFmtId="176" fontId="1" fillId="0" borderId="0" xfId="22" applyNumberFormat="1" applyBorder="1" applyAlignment="1">
      <alignment horizontal="center"/>
      <protection/>
    </xf>
    <xf numFmtId="0" fontId="1" fillId="0" borderId="0" xfId="22" applyBorder="1" applyAlignment="1" quotePrefix="1">
      <alignment horizontal="center"/>
      <protection/>
    </xf>
    <xf numFmtId="0" fontId="1" fillId="0" borderId="8" xfId="22" applyBorder="1" applyAlignment="1">
      <alignment horizontal="center"/>
      <protection/>
    </xf>
    <xf numFmtId="0" fontId="1" fillId="0" borderId="7" xfId="22" applyBorder="1" applyAlignment="1" quotePrefix="1">
      <alignment horizontal="left" vertical="center"/>
      <protection/>
    </xf>
    <xf numFmtId="0" fontId="5" fillId="0" borderId="0" xfId="22" applyFont="1" applyBorder="1" applyAlignment="1">
      <alignment vertical="center"/>
      <protection/>
    </xf>
    <xf numFmtId="176" fontId="5" fillId="0" borderId="0" xfId="22" applyNumberFormat="1" applyFont="1" applyBorder="1" applyAlignment="1">
      <alignment horizontal="left" vertical="center"/>
      <protection/>
    </xf>
    <xf numFmtId="176" fontId="1" fillId="0" borderId="0" xfId="22" applyNumberFormat="1" applyBorder="1" applyAlignment="1">
      <alignment horizontal="center" vertical="center"/>
      <protection/>
    </xf>
    <xf numFmtId="0" fontId="1" fillId="0" borderId="0" xfId="22" applyBorder="1" applyAlignment="1" quotePrefix="1">
      <alignment horizontal="center" vertical="center"/>
      <protection/>
    </xf>
    <xf numFmtId="0" fontId="1" fillId="0" borderId="8" xfId="22" applyBorder="1" applyAlignment="1">
      <alignment horizontal="center" vertical="center"/>
      <protection/>
    </xf>
    <xf numFmtId="0" fontId="1" fillId="0" borderId="0" xfId="22" applyBorder="1" applyAlignment="1" quotePrefix="1">
      <alignment/>
      <protection/>
    </xf>
    <xf numFmtId="0" fontId="1" fillId="0" borderId="8" xfId="22" applyBorder="1" applyAlignment="1">
      <alignment/>
      <protection/>
    </xf>
    <xf numFmtId="0" fontId="1" fillId="0" borderId="0" xfId="22" applyBorder="1">
      <alignment/>
      <protection/>
    </xf>
    <xf numFmtId="0" fontId="1" fillId="0" borderId="7" xfId="22" applyBorder="1" applyAlignment="1">
      <alignment horizontal="centerContinuous"/>
      <protection/>
    </xf>
    <xf numFmtId="0" fontId="1" fillId="0" borderId="0" xfId="22" applyBorder="1" applyAlignment="1">
      <alignment horizontal="right"/>
      <protection/>
    </xf>
    <xf numFmtId="0" fontId="1" fillId="0" borderId="0" xfId="22" applyBorder="1" applyAlignment="1" quotePrefix="1">
      <alignment horizontal="right"/>
      <protection/>
    </xf>
    <xf numFmtId="0" fontId="1" fillId="0" borderId="0" xfId="22" applyBorder="1" applyAlignment="1" quotePrefix="1">
      <alignment horizontal="centerContinuous"/>
      <protection/>
    </xf>
    <xf numFmtId="0" fontId="1" fillId="0" borderId="8" xfId="22" applyBorder="1">
      <alignment/>
      <protection/>
    </xf>
    <xf numFmtId="0" fontId="1" fillId="0" borderId="9" xfId="22" applyBorder="1" applyAlignment="1">
      <alignment horizontal="centerContinuous"/>
      <protection/>
    </xf>
    <xf numFmtId="0" fontId="1" fillId="0" borderId="10" xfId="22" applyBorder="1" applyAlignment="1">
      <alignment horizontal="centerContinuous"/>
      <protection/>
    </xf>
    <xf numFmtId="0" fontId="1" fillId="0" borderId="10" xfId="22" applyBorder="1" applyAlignment="1">
      <alignment horizontal="right"/>
      <protection/>
    </xf>
    <xf numFmtId="0" fontId="1" fillId="0" borderId="10" xfId="22" applyBorder="1" applyAlignment="1" quotePrefix="1">
      <alignment horizontal="right"/>
      <protection/>
    </xf>
    <xf numFmtId="0" fontId="1" fillId="0" borderId="10" xfId="22" applyBorder="1" applyAlignment="1" quotePrefix="1">
      <alignment horizontal="centerContinuous"/>
      <protection/>
    </xf>
    <xf numFmtId="0" fontId="1" fillId="0" borderId="10" xfId="22" applyBorder="1">
      <alignment/>
      <protection/>
    </xf>
    <xf numFmtId="0" fontId="1" fillId="0" borderId="11" xfId="22" applyBorder="1">
      <alignment/>
      <protection/>
    </xf>
    <xf numFmtId="0" fontId="1" fillId="0" borderId="0" xfId="22" applyAlignment="1">
      <alignment horizontal="centerContinuous"/>
      <protection/>
    </xf>
    <xf numFmtId="1" fontId="1" fillId="0" borderId="0" xfId="22" applyNumberFormat="1" applyAlignment="1">
      <alignment horizontal="centerContinuous"/>
      <protection/>
    </xf>
    <xf numFmtId="0" fontId="5" fillId="0" borderId="0" xfId="22" applyFont="1" applyAlignment="1" quotePrefix="1">
      <alignment horizontal="centerContinuous"/>
      <protection/>
    </xf>
    <xf numFmtId="0" fontId="1" fillId="0" borderId="0" xfId="22" applyAlignment="1" quotePrefix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176" fontId="1" fillId="0" borderId="0" xfId="22" applyNumberFormat="1" applyAlignment="1">
      <alignment horizontal="centerContinuous"/>
      <protection/>
    </xf>
    <xf numFmtId="0" fontId="1" fillId="0" borderId="0" xfId="22" applyAlignment="1" quotePrefix="1">
      <alignment horizontal="left"/>
      <protection/>
    </xf>
    <xf numFmtId="0" fontId="1" fillId="0" borderId="1" xfId="22" applyBorder="1" applyAlignment="1">
      <alignment horizontal="centerContinuous"/>
      <protection/>
    </xf>
    <xf numFmtId="0" fontId="1" fillId="0" borderId="2" xfId="22" applyBorder="1" applyAlignment="1">
      <alignment horizontal="centerContinuous"/>
      <protection/>
    </xf>
    <xf numFmtId="0" fontId="1" fillId="0" borderId="3" xfId="22" applyBorder="1" applyAlignment="1">
      <alignment horizontal="centerContinuous"/>
      <protection/>
    </xf>
    <xf numFmtId="0" fontId="1" fillId="0" borderId="11" xfId="22" applyBorder="1" applyAlignment="1">
      <alignment horizontal="centerContinuous"/>
      <protection/>
    </xf>
    <xf numFmtId="0" fontId="1" fillId="0" borderId="10" xfId="22" applyBorder="1" applyAlignment="1">
      <alignment horizontal="left"/>
      <protection/>
    </xf>
    <xf numFmtId="176" fontId="1" fillId="0" borderId="10" xfId="22" applyNumberFormat="1" applyBorder="1" applyAlignment="1">
      <alignment horizontal="centerContinuous"/>
      <protection/>
    </xf>
    <xf numFmtId="0" fontId="5" fillId="0" borderId="10" xfId="22" applyFont="1" applyBorder="1" applyAlignment="1">
      <alignment horizontal="centerContinuous"/>
      <protection/>
    </xf>
    <xf numFmtId="2" fontId="1" fillId="0" borderId="10" xfId="22" applyNumberFormat="1" applyBorder="1" applyAlignment="1">
      <alignment horizontal="centerContinuous"/>
      <protection/>
    </xf>
    <xf numFmtId="0" fontId="5" fillId="0" borderId="10" xfId="22" applyFont="1" applyBorder="1">
      <alignment/>
      <protection/>
    </xf>
    <xf numFmtId="1" fontId="1" fillId="0" borderId="10" xfId="22" applyNumberFormat="1" applyBorder="1" applyAlignment="1">
      <alignment horizontal="centerContinuous"/>
      <protection/>
    </xf>
    <xf numFmtId="1" fontId="1" fillId="0" borderId="11" xfId="22" applyNumberFormat="1" applyBorder="1" applyAlignment="1">
      <alignment horizontal="centerContinuous"/>
      <protection/>
    </xf>
    <xf numFmtId="0" fontId="7" fillId="0" borderId="11" xfId="22" applyFont="1" applyBorder="1" applyAlignment="1">
      <alignment horizontal="centerContinuous"/>
      <protection/>
    </xf>
    <xf numFmtId="0" fontId="1" fillId="0" borderId="10" xfId="22" applyBorder="1" applyAlignment="1">
      <alignment/>
      <protection/>
    </xf>
    <xf numFmtId="0" fontId="1" fillId="0" borderId="11" xfId="22" applyBorder="1" applyAlignment="1">
      <alignment/>
      <protection/>
    </xf>
    <xf numFmtId="2" fontId="1" fillId="0" borderId="10" xfId="22" applyNumberFormat="1" applyBorder="1">
      <alignment/>
      <protection/>
    </xf>
    <xf numFmtId="0" fontId="1" fillId="0" borderId="11" xfId="22" applyBorder="1" applyAlignment="1">
      <alignment horizontal="left"/>
      <protection/>
    </xf>
    <xf numFmtId="0" fontId="1" fillId="0" borderId="9" xfId="22" applyFont="1" applyBorder="1" applyAlignment="1">
      <alignment horizontal="centerContinuous"/>
      <protection/>
    </xf>
    <xf numFmtId="0" fontId="1" fillId="0" borderId="10" xfId="22" applyFont="1" applyBorder="1" applyAlignment="1">
      <alignment horizontal="centerContinuous"/>
      <protection/>
    </xf>
    <xf numFmtId="0" fontId="1" fillId="0" borderId="2" xfId="22" applyFont="1" applyBorder="1" applyAlignment="1">
      <alignment horizontal="centerContinuous"/>
      <protection/>
    </xf>
    <xf numFmtId="0" fontId="1" fillId="0" borderId="11" xfId="22" applyFont="1" applyBorder="1" applyAlignment="1">
      <alignment horizontal="centerContinuous"/>
      <protection/>
    </xf>
    <xf numFmtId="1" fontId="1" fillId="0" borderId="0" xfId="22" applyNumberFormat="1">
      <alignment/>
      <protection/>
    </xf>
    <xf numFmtId="0" fontId="5" fillId="0" borderId="0" xfId="22" applyFont="1" applyBorder="1" applyAlignment="1">
      <alignment horizontal="centerContinuous"/>
      <protection/>
    </xf>
    <xf numFmtId="2" fontId="1" fillId="0" borderId="0" xfId="22" applyNumberFormat="1" applyAlignment="1">
      <alignment horizontal="centerContinuous"/>
      <protection/>
    </xf>
    <xf numFmtId="177" fontId="1" fillId="0" borderId="0" xfId="22" applyNumberFormat="1" applyAlignment="1">
      <alignment horizontal="centerContinuous"/>
      <protection/>
    </xf>
    <xf numFmtId="0" fontId="1" fillId="0" borderId="6" xfId="22" applyBorder="1" applyAlignment="1">
      <alignment horizontal="centerContinuous"/>
      <protection/>
    </xf>
    <xf numFmtId="0" fontId="1" fillId="0" borderId="11" xfId="22" applyBorder="1" applyAlignment="1" quotePrefix="1">
      <alignment horizontal="centerContinuous"/>
      <protection/>
    </xf>
    <xf numFmtId="0" fontId="1" fillId="0" borderId="0" xfId="22" applyBorder="1" applyAlignment="1">
      <alignment horizontal="left"/>
      <protection/>
    </xf>
    <xf numFmtId="0" fontId="1" fillId="0" borderId="8" xfId="22" applyBorder="1" applyAlignment="1">
      <alignment horizontal="centerContinuous"/>
      <protection/>
    </xf>
    <xf numFmtId="177" fontId="1" fillId="0" borderId="10" xfId="22" applyNumberFormat="1" applyBorder="1" applyAlignment="1">
      <alignment horizontal="centerContinuous"/>
      <protection/>
    </xf>
    <xf numFmtId="177" fontId="1" fillId="0" borderId="11" xfId="22" applyNumberFormat="1" applyBorder="1" applyAlignment="1">
      <alignment horizontal="centerContinuous"/>
      <protection/>
    </xf>
    <xf numFmtId="176" fontId="1" fillId="0" borderId="0" xfId="22" applyNumberFormat="1">
      <alignment/>
      <protection/>
    </xf>
    <xf numFmtId="0" fontId="1" fillId="0" borderId="9" xfId="22" applyBorder="1" applyAlignment="1">
      <alignment horizontal="left"/>
      <protection/>
    </xf>
    <xf numFmtId="1" fontId="1" fillId="0" borderId="10" xfId="22" applyNumberFormat="1" applyBorder="1" applyAlignment="1">
      <alignment horizontal="left"/>
      <protection/>
    </xf>
    <xf numFmtId="2" fontId="1" fillId="0" borderId="11" xfId="22" applyNumberFormat="1" applyBorder="1" applyAlignment="1">
      <alignment horizontal="centerContinuous"/>
      <protection/>
    </xf>
    <xf numFmtId="0" fontId="1" fillId="0" borderId="0" xfId="22" applyAlignment="1">
      <alignment horizontal="left"/>
      <protection/>
    </xf>
    <xf numFmtId="0" fontId="1" fillId="0" borderId="2" xfId="22" applyBorder="1">
      <alignment/>
      <protection/>
    </xf>
    <xf numFmtId="0" fontId="1" fillId="0" borderId="3" xfId="22" applyBorder="1">
      <alignment/>
      <protection/>
    </xf>
    <xf numFmtId="176" fontId="1" fillId="0" borderId="11" xfId="22" applyNumberFormat="1" applyBorder="1">
      <alignment/>
      <protection/>
    </xf>
    <xf numFmtId="176" fontId="1" fillId="0" borderId="8" xfId="22" applyNumberFormat="1" applyBorder="1">
      <alignment/>
      <protection/>
    </xf>
    <xf numFmtId="177" fontId="1" fillId="0" borderId="0" xfId="22" applyNumberFormat="1">
      <alignment/>
      <protection/>
    </xf>
    <xf numFmtId="176" fontId="1" fillId="0" borderId="11" xfId="22" applyNumberFormat="1" applyBorder="1" applyAlignment="1">
      <alignment horizontal="left"/>
      <protection/>
    </xf>
    <xf numFmtId="0" fontId="1" fillId="0" borderId="10" xfId="22" applyBorder="1" applyAlignment="1" quotePrefix="1">
      <alignment horizontal="left"/>
      <protection/>
    </xf>
    <xf numFmtId="0" fontId="1" fillId="0" borderId="0" xfId="22" applyAlignment="1">
      <alignment horizontal="right"/>
      <protection/>
    </xf>
    <xf numFmtId="178" fontId="1" fillId="0" borderId="0" xfId="22" applyNumberFormat="1" applyAlignment="1">
      <alignment horizontal="centerContinuous"/>
      <protection/>
    </xf>
    <xf numFmtId="2" fontId="1" fillId="0" borderId="1" xfId="22" applyNumberFormat="1" applyBorder="1" applyAlignment="1">
      <alignment horizontal="centerContinuous"/>
      <protection/>
    </xf>
    <xf numFmtId="0" fontId="1" fillId="0" borderId="1" xfId="22" applyBorder="1" applyAlignment="1" quotePrefix="1">
      <alignment horizontal="centerContinuous"/>
      <protection/>
    </xf>
    <xf numFmtId="0" fontId="1" fillId="0" borderId="7" xfId="22" applyBorder="1" applyAlignment="1">
      <alignment horizontal="left"/>
      <protection/>
    </xf>
    <xf numFmtId="176" fontId="1" fillId="0" borderId="7" xfId="22" applyNumberFormat="1" applyBorder="1" applyAlignment="1">
      <alignment horizontal="centerContinuous"/>
      <protection/>
    </xf>
    <xf numFmtId="1" fontId="1" fillId="0" borderId="2" xfId="22" applyNumberFormat="1" applyBorder="1" applyAlignment="1">
      <alignment horizontal="centerContinuous"/>
      <protection/>
    </xf>
    <xf numFmtId="0" fontId="1" fillId="0" borderId="7" xfId="22" applyBorder="1" applyAlignment="1" quotePrefix="1">
      <alignment horizontal="centerContinuous"/>
      <protection/>
    </xf>
    <xf numFmtId="2" fontId="1" fillId="0" borderId="0" xfId="22" applyNumberFormat="1" applyBorder="1" applyAlignment="1" quotePrefix="1">
      <alignment horizontal="left" vertical="center"/>
      <protection/>
    </xf>
    <xf numFmtId="2" fontId="1" fillId="0" borderId="0" xfId="22" applyNumberFormat="1">
      <alignment/>
      <protection/>
    </xf>
    <xf numFmtId="178" fontId="1" fillId="0" borderId="0" xfId="22" applyNumberFormat="1">
      <alignment/>
      <protection/>
    </xf>
    <xf numFmtId="0" fontId="6" fillId="0" borderId="2" xfId="22" applyFont="1" applyBorder="1" applyAlignment="1">
      <alignment horizontal="centerContinuous" vertical="center"/>
      <protection/>
    </xf>
    <xf numFmtId="176" fontId="1" fillId="0" borderId="9" xfId="22" applyNumberFormat="1" applyBorder="1" applyAlignment="1">
      <alignment horizontal="centerContinuous"/>
      <protection/>
    </xf>
    <xf numFmtId="2" fontId="6" fillId="0" borderId="10" xfId="22" applyNumberFormat="1" applyFont="1" applyBorder="1" applyAlignment="1">
      <alignment horizontal="centerContinuous"/>
      <protection/>
    </xf>
    <xf numFmtId="0" fontId="5" fillId="0" borderId="0" xfId="22" applyFont="1" applyAlignment="1">
      <alignment horizontal="left" vertical="center"/>
      <protection/>
    </xf>
  </cellXfs>
  <cellStyles count="9">
    <cellStyle name="Normal" xfId="0"/>
    <cellStyle name="Percent" xfId="15"/>
    <cellStyle name="Comma" xfId="16"/>
    <cellStyle name="Comma [0]" xfId="17"/>
    <cellStyle name="콤마 [0]_배합설계" xfId="18"/>
    <cellStyle name="콤마_배합설계" xfId="19"/>
    <cellStyle name="Currency" xfId="20"/>
    <cellStyle name="Currency [0]" xfId="21"/>
    <cellStyle name="표준_배합설계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75"/>
          <c:w val="0.95875"/>
          <c:h val="0.95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'25-180-08'!$W$206:$W$208</c:f>
              <c:numCache>
                <c:ptCount val="3"/>
                <c:pt idx="0">
                  <c:v>49.7</c:v>
                </c:pt>
                <c:pt idx="1">
                  <c:v>54.7</c:v>
                </c:pt>
                <c:pt idx="2">
                  <c:v>59.7</c:v>
                </c:pt>
              </c:numCache>
            </c:numRef>
          </c:cat>
          <c:val>
            <c:numRef>
              <c:f>'25-180-08'!$X$206:$X$208</c:f>
              <c:numCache>
                <c:ptCount val="3"/>
                <c:pt idx="0">
                  <c:v>250</c:v>
                </c:pt>
                <c:pt idx="1">
                  <c:v>232</c:v>
                </c:pt>
                <c:pt idx="2">
                  <c:v>216</c:v>
                </c:pt>
              </c:numCache>
            </c:numRef>
          </c:val>
          <c:smooth val="0"/>
        </c:ser>
        <c:marker val="1"/>
        <c:axId val="18144372"/>
        <c:axId val="29081621"/>
      </c:lineChart>
      <c:catAx>
        <c:axId val="18144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81621"/>
        <c:crosses val="autoZero"/>
        <c:auto val="0"/>
        <c:lblOffset val="100"/>
        <c:noMultiLvlLbl val="0"/>
      </c:catAx>
      <c:valAx>
        <c:axId val="29081621"/>
        <c:scaling>
          <c:orientation val="minMax"/>
          <c:max val="260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1443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38"/>
          <c:w val="0.938"/>
          <c:h val="0.92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0"/>
            <c:dispRSqr val="0"/>
          </c:trendline>
          <c:cat>
            <c:numRef>
              <c:f>'25-210-08'!$W$204:$W$206</c:f>
              <c:numCache>
                <c:ptCount val="3"/>
                <c:pt idx="0">
                  <c:v>43.6</c:v>
                </c:pt>
                <c:pt idx="1">
                  <c:v>48.6</c:v>
                </c:pt>
                <c:pt idx="2">
                  <c:v>53.6</c:v>
                </c:pt>
              </c:numCache>
            </c:numRef>
          </c:cat>
          <c:val>
            <c:numRef>
              <c:f>'25-210-08'!$X$204:$X$206</c:f>
              <c:numCache>
                <c:ptCount val="3"/>
                <c:pt idx="0">
                  <c:v>285</c:v>
                </c:pt>
                <c:pt idx="1">
                  <c:v>279</c:v>
                </c:pt>
                <c:pt idx="2">
                  <c:v>251</c:v>
                </c:pt>
              </c:numCache>
            </c:numRef>
          </c:val>
          <c:smooth val="0"/>
        </c:ser>
        <c:marker val="1"/>
        <c:axId val="60407998"/>
        <c:axId val="6801071"/>
      </c:lineChart>
      <c:catAx>
        <c:axId val="604079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801071"/>
        <c:crosses val="autoZero"/>
        <c:auto val="0"/>
        <c:lblOffset val="100"/>
        <c:noMultiLvlLbl val="0"/>
      </c:catAx>
      <c:valAx>
        <c:axId val="68010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4079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"/>
          <c:w val="0.96675"/>
          <c:h val="0.95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'25-240-15'!$W$205:$W$207</c:f>
              <c:numCache>
                <c:ptCount val="3"/>
                <c:pt idx="0">
                  <c:v>41</c:v>
                </c:pt>
                <c:pt idx="1">
                  <c:v>46</c:v>
                </c:pt>
                <c:pt idx="2">
                  <c:v>51</c:v>
                </c:pt>
              </c:numCache>
            </c:numRef>
          </c:cat>
          <c:val>
            <c:numRef>
              <c:f>'25-240-15'!$X$205:$X$207</c:f>
              <c:numCache>
                <c:ptCount val="3"/>
                <c:pt idx="0">
                  <c:v>300</c:v>
                </c:pt>
                <c:pt idx="1">
                  <c:v>284</c:v>
                </c:pt>
                <c:pt idx="2">
                  <c:v>272</c:v>
                </c:pt>
              </c:numCache>
            </c:numRef>
          </c:val>
          <c:smooth val="0"/>
        </c:ser>
        <c:marker val="1"/>
        <c:axId val="61209640"/>
        <c:axId val="14015849"/>
      </c:line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15849"/>
        <c:crosses val="autoZero"/>
        <c:auto val="0"/>
        <c:lblOffset val="100"/>
        <c:noMultiLvlLbl val="0"/>
      </c:catAx>
      <c:valAx>
        <c:axId val="14015849"/>
        <c:scaling>
          <c:orientation val="minMax"/>
          <c:max val="320"/>
          <c:min val="2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2096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1"/>
          <c:w val="0.9515"/>
          <c:h val="0.93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'25-270-15'!$W$205:$W$207</c:f>
              <c:numCache>
                <c:ptCount val="3"/>
                <c:pt idx="0">
                  <c:v>38.1</c:v>
                </c:pt>
                <c:pt idx="1">
                  <c:v>43.1</c:v>
                </c:pt>
                <c:pt idx="2">
                  <c:v>48.1</c:v>
                </c:pt>
              </c:numCache>
            </c:numRef>
          </c:cat>
          <c:val>
            <c:numRef>
              <c:f>'25-270-15'!$X$205:$X$207</c:f>
              <c:numCache>
                <c:ptCount val="3"/>
                <c:pt idx="0">
                  <c:v>319</c:v>
                </c:pt>
                <c:pt idx="1">
                  <c:v>306</c:v>
                </c:pt>
                <c:pt idx="2">
                  <c:v>295</c:v>
                </c:pt>
              </c:numCache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41955"/>
        <c:crosses val="autoZero"/>
        <c:auto val="0"/>
        <c:lblOffset val="100"/>
        <c:noMultiLvlLbl val="0"/>
      </c:catAx>
      <c:valAx>
        <c:axId val="61541955"/>
        <c:scaling>
          <c:orientation val="minMax"/>
          <c:max val="340"/>
          <c:min val="2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03377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4275"/>
          <c:w val="0.92525"/>
          <c:h val="0.90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'20-400-15'!$W$205:$W$207</c:f>
              <c:numCache>
                <c:ptCount val="3"/>
                <c:pt idx="0">
                  <c:v>23</c:v>
                </c:pt>
                <c:pt idx="1">
                  <c:v>28</c:v>
                </c:pt>
                <c:pt idx="2">
                  <c:v>33</c:v>
                </c:pt>
              </c:numCache>
            </c:numRef>
          </c:cat>
          <c:val>
            <c:numRef>
              <c:f>'20-400-15'!$X$205:$X$207</c:f>
              <c:numCache>
                <c:ptCount val="3"/>
                <c:pt idx="0">
                  <c:v>540</c:v>
                </c:pt>
                <c:pt idx="1">
                  <c:v>496</c:v>
                </c:pt>
                <c:pt idx="2">
                  <c:v>454</c:v>
                </c:pt>
              </c:numCache>
            </c:numRef>
          </c:val>
          <c:smooth val="0"/>
        </c:ser>
        <c:marker val="1"/>
        <c:axId val="17006684"/>
        <c:axId val="18842429"/>
      </c:line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842429"/>
        <c:crossesAt val="440"/>
        <c:auto val="0"/>
        <c:lblOffset val="100"/>
        <c:noMultiLvlLbl val="0"/>
      </c:catAx>
      <c:valAx>
        <c:axId val="18842429"/>
        <c:scaling>
          <c:orientation val="minMax"/>
          <c:max val="560"/>
          <c:min val="4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006684"/>
        <c:crossesAt val="1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0.78525</cdr:x>
      <cdr:y>0.34575</cdr:y>
    </cdr:from>
    <cdr:to>
      <cdr:x>0.78525</cdr:x>
      <cdr:y>0.8745</cdr:y>
    </cdr:to>
    <cdr:sp>
      <cdr:nvSpPr>
        <cdr:cNvPr id="1" name="Line 1"/>
        <cdr:cNvSpPr>
          <a:spLocks/>
        </cdr:cNvSpPr>
      </cdr:nvSpPr>
      <cdr:spPr>
        <a:xfrm flipV="1">
          <a:off x="1876425" y="752475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cdr:txBody>
    </cdr:sp>
  </cdr:relSizeAnchor>
  <cdr:relSizeAnchor xmlns:cdr="http://schemas.openxmlformats.org/drawingml/2006/chartDrawing">
    <cdr:from>
      <cdr:x>0.13875</cdr:x>
      <cdr:y>0.35825</cdr:y>
    </cdr:from>
    <cdr:to>
      <cdr:x>0.78525</cdr:x>
      <cdr:y>0.35825</cdr:y>
    </cdr:to>
    <cdr:sp>
      <cdr:nvSpPr>
        <cdr:cNvPr id="2" name="Line 2"/>
        <cdr:cNvSpPr>
          <a:spLocks/>
        </cdr:cNvSpPr>
      </cdr:nvSpPr>
      <cdr:spPr>
        <a:xfrm>
          <a:off x="323850" y="781050"/>
          <a:ext cx="1552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207</xdr:row>
      <xdr:rowOff>38100</xdr:rowOff>
    </xdr:from>
    <xdr:to>
      <xdr:col>19</xdr:col>
      <xdr:colOff>123825</xdr:colOff>
      <xdr:row>217</xdr:row>
      <xdr:rowOff>123825</xdr:rowOff>
    </xdr:to>
    <xdr:graphicFrame>
      <xdr:nvGraphicFramePr>
        <xdr:cNvPr id="1" name="Chart 1"/>
        <xdr:cNvGraphicFramePr/>
      </xdr:nvGraphicFramePr>
      <xdr:xfrm>
        <a:off x="3724275" y="53178075"/>
        <a:ext cx="24003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205</xdr:row>
      <xdr:rowOff>9525</xdr:rowOff>
    </xdr:from>
    <xdr:to>
      <xdr:col>19</xdr:col>
      <xdr:colOff>276225</xdr:colOff>
      <xdr:row>215</xdr:row>
      <xdr:rowOff>0</xdr:rowOff>
    </xdr:to>
    <xdr:graphicFrame>
      <xdr:nvGraphicFramePr>
        <xdr:cNvPr id="1" name="Chart 1"/>
        <xdr:cNvGraphicFramePr/>
      </xdr:nvGraphicFramePr>
      <xdr:xfrm>
        <a:off x="3714750" y="51711225"/>
        <a:ext cx="25622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28575</xdr:colOff>
      <xdr:row>209</xdr:row>
      <xdr:rowOff>85725</xdr:rowOff>
    </xdr:from>
    <xdr:to>
      <xdr:col>18</xdr:col>
      <xdr:colOff>28575</xdr:colOff>
      <xdr:row>212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5667375" y="52625625"/>
          <a:ext cx="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219075</xdr:colOff>
      <xdr:row>209</xdr:row>
      <xdr:rowOff>95250</xdr:rowOff>
    </xdr:from>
    <xdr:to>
      <xdr:col>18</xdr:col>
      <xdr:colOff>28575</xdr:colOff>
      <xdr:row>209</xdr:row>
      <xdr:rowOff>95250</xdr:rowOff>
    </xdr:to>
    <xdr:sp>
      <xdr:nvSpPr>
        <xdr:cNvPr id="3" name="Line 3"/>
        <xdr:cNvSpPr>
          <a:spLocks/>
        </xdr:cNvSpPr>
      </xdr:nvSpPr>
      <xdr:spPr>
        <a:xfrm>
          <a:off x="4238625" y="52635150"/>
          <a:ext cx="142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206</xdr:row>
      <xdr:rowOff>47625</xdr:rowOff>
    </xdr:from>
    <xdr:to>
      <xdr:col>19</xdr:col>
      <xdr:colOff>238125</xdr:colOff>
      <xdr:row>215</xdr:row>
      <xdr:rowOff>123825</xdr:rowOff>
    </xdr:to>
    <xdr:graphicFrame>
      <xdr:nvGraphicFramePr>
        <xdr:cNvPr id="1" name="Chart 1"/>
        <xdr:cNvGraphicFramePr/>
      </xdr:nvGraphicFramePr>
      <xdr:xfrm>
        <a:off x="3752850" y="52187475"/>
        <a:ext cx="248602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238125</xdr:colOff>
      <xdr:row>210</xdr:row>
      <xdr:rowOff>133350</xdr:rowOff>
    </xdr:from>
    <xdr:to>
      <xdr:col>17</xdr:col>
      <xdr:colOff>219075</xdr:colOff>
      <xdr:row>210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257675" y="53111400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219075</xdr:colOff>
      <xdr:row>210</xdr:row>
      <xdr:rowOff>133350</xdr:rowOff>
    </xdr:from>
    <xdr:to>
      <xdr:col>17</xdr:col>
      <xdr:colOff>219075</xdr:colOff>
      <xdr:row>213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5514975" y="53111400"/>
          <a:ext cx="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0.84775</cdr:y>
    </cdr:from>
    <cdr:to>
      <cdr:x>0.74125</cdr:x>
      <cdr:y>0.8555</cdr:y>
    </cdr:to>
    <cdr:sp>
      <cdr:nvSpPr>
        <cdr:cNvPr id="1" name="Line 1"/>
        <cdr:cNvSpPr>
          <a:spLocks/>
        </cdr:cNvSpPr>
      </cdr:nvSpPr>
      <cdr:spPr>
        <a:xfrm>
          <a:off x="1905000" y="1905000"/>
          <a:ext cx="190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206</xdr:row>
      <xdr:rowOff>104775</xdr:rowOff>
    </xdr:from>
    <xdr:to>
      <xdr:col>19</xdr:col>
      <xdr:colOff>323850</xdr:colOff>
      <xdr:row>217</xdr:row>
      <xdr:rowOff>47625</xdr:rowOff>
    </xdr:to>
    <xdr:graphicFrame>
      <xdr:nvGraphicFramePr>
        <xdr:cNvPr id="1" name="Chart 1"/>
        <xdr:cNvGraphicFramePr/>
      </xdr:nvGraphicFramePr>
      <xdr:xfrm>
        <a:off x="3724275" y="52216050"/>
        <a:ext cx="26003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247650</xdr:colOff>
      <xdr:row>211</xdr:row>
      <xdr:rowOff>57150</xdr:rowOff>
    </xdr:from>
    <xdr:to>
      <xdr:col>17</xdr:col>
      <xdr:colOff>247650</xdr:colOff>
      <xdr:row>215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5543550" y="53216175"/>
          <a:ext cx="0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219075</xdr:colOff>
      <xdr:row>211</xdr:row>
      <xdr:rowOff>76200</xdr:rowOff>
    </xdr:from>
    <xdr:to>
      <xdr:col>17</xdr:col>
      <xdr:colOff>247650</xdr:colOff>
      <xdr:row>211</xdr:row>
      <xdr:rowOff>76200</xdr:rowOff>
    </xdr:to>
    <xdr:sp>
      <xdr:nvSpPr>
        <xdr:cNvPr id="3" name="Line 3"/>
        <xdr:cNvSpPr>
          <a:spLocks/>
        </xdr:cNvSpPr>
      </xdr:nvSpPr>
      <xdr:spPr>
        <a:xfrm>
          <a:off x="4238625" y="53235225"/>
          <a:ext cx="130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206</xdr:row>
      <xdr:rowOff>171450</xdr:rowOff>
    </xdr:from>
    <xdr:to>
      <xdr:col>19</xdr:col>
      <xdr:colOff>333375</xdr:colOff>
      <xdr:row>216</xdr:row>
      <xdr:rowOff>28575</xdr:rowOff>
    </xdr:to>
    <xdr:graphicFrame>
      <xdr:nvGraphicFramePr>
        <xdr:cNvPr id="1" name="Chart 1"/>
        <xdr:cNvGraphicFramePr/>
      </xdr:nvGraphicFramePr>
      <xdr:xfrm>
        <a:off x="3724275" y="52282725"/>
        <a:ext cx="26098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219075</xdr:colOff>
      <xdr:row>212</xdr:row>
      <xdr:rowOff>200025</xdr:rowOff>
    </xdr:from>
    <xdr:to>
      <xdr:col>18</xdr:col>
      <xdr:colOff>323850</xdr:colOff>
      <xdr:row>212</xdr:row>
      <xdr:rowOff>200025</xdr:rowOff>
    </xdr:to>
    <xdr:sp>
      <xdr:nvSpPr>
        <xdr:cNvPr id="2" name="Line 2"/>
        <xdr:cNvSpPr>
          <a:spLocks/>
        </xdr:cNvSpPr>
      </xdr:nvSpPr>
      <xdr:spPr>
        <a:xfrm>
          <a:off x="4238625" y="53568600"/>
          <a:ext cx="172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333375</xdr:colOff>
      <xdr:row>212</xdr:row>
      <xdr:rowOff>200025</xdr:rowOff>
    </xdr:from>
    <xdr:to>
      <xdr:col>18</xdr:col>
      <xdr:colOff>333375</xdr:colOff>
      <xdr:row>213</xdr:row>
      <xdr:rowOff>190500</xdr:rowOff>
    </xdr:to>
    <xdr:sp>
      <xdr:nvSpPr>
        <xdr:cNvPr id="3" name="Line 3"/>
        <xdr:cNvSpPr>
          <a:spLocks/>
        </xdr:cNvSpPr>
      </xdr:nvSpPr>
      <xdr:spPr>
        <a:xfrm>
          <a:off x="5972175" y="5356860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7"/>
  <sheetViews>
    <sheetView tabSelected="1" view="pageBreakPreview" zoomScaleNormal="80" zoomScaleSheetLayoutView="100" workbookViewId="0" topLeftCell="A1">
      <selection activeCell="I13" sqref="I13"/>
    </sheetView>
  </sheetViews>
  <sheetFormatPr defaultColWidth="8.88671875" defaultRowHeight="13.5"/>
  <cols>
    <col min="1" max="4" width="3.4453125" style="7" customWidth="1"/>
    <col min="5" max="5" width="3.6640625" style="7" customWidth="1"/>
    <col min="6" max="7" width="3.4453125" style="7" customWidth="1"/>
    <col min="8" max="8" width="3.99609375" style="7" customWidth="1"/>
    <col min="9" max="9" width="4.3359375" style="7" customWidth="1"/>
    <col min="10" max="10" width="3.5546875" style="7" customWidth="1"/>
    <col min="11" max="11" width="3.4453125" style="7" customWidth="1"/>
    <col min="12" max="12" width="3.6640625" style="7" customWidth="1"/>
    <col min="13" max="13" width="3.5546875" style="7" customWidth="1"/>
    <col min="14" max="14" width="3.6640625" style="7" customWidth="1"/>
    <col min="15" max="15" width="3.77734375" style="7" customWidth="1"/>
    <col min="16" max="16" width="3.4453125" style="7" customWidth="1"/>
    <col min="17" max="18" width="3.99609375" style="7" customWidth="1"/>
    <col min="19" max="19" width="4.21484375" style="7" customWidth="1"/>
    <col min="20" max="20" width="3.99609375" style="7" customWidth="1"/>
    <col min="21" max="21" width="3.4453125" style="7" customWidth="1"/>
    <col min="22" max="22" width="5.10546875" style="7" customWidth="1"/>
    <col min="23" max="25" width="4.21484375" style="7" customWidth="1"/>
    <col min="26" max="16384" width="7.10546875" style="7" customWidth="1"/>
  </cols>
  <sheetData>
    <row r="1" spans="1:20" s="6" customFormat="1" ht="47.25" customHeight="1">
      <c r="A1" s="1" t="s">
        <v>201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5"/>
    </row>
    <row r="2" spans="1:20" s="11" customFormat="1" ht="27" customHeight="1">
      <c r="A2" s="8" t="s">
        <v>1</v>
      </c>
      <c r="F2" s="9">
        <v>25</v>
      </c>
      <c r="G2" s="12" t="s">
        <v>2</v>
      </c>
      <c r="H2" s="9">
        <v>180</v>
      </c>
      <c r="I2" s="12" t="s">
        <v>2</v>
      </c>
      <c r="J2" s="10">
        <v>8</v>
      </c>
      <c r="K2" s="11" t="s">
        <v>3</v>
      </c>
      <c r="O2" s="13"/>
      <c r="P2" s="13"/>
      <c r="Q2" s="14"/>
      <c r="R2" s="13"/>
      <c r="S2" s="13"/>
      <c r="T2" s="13"/>
    </row>
    <row r="3" spans="1:20" s="19" customFormat="1" ht="13.5" customHeight="1">
      <c r="A3" s="141" t="s">
        <v>200</v>
      </c>
      <c r="B3" s="16"/>
      <c r="C3" s="16"/>
      <c r="D3" s="16"/>
      <c r="E3" s="16"/>
      <c r="F3" s="17"/>
      <c r="G3" s="17"/>
      <c r="H3" s="17"/>
      <c r="I3" s="17"/>
      <c r="J3" s="18"/>
      <c r="K3" s="16"/>
      <c r="O3" s="20"/>
      <c r="P3" s="20"/>
      <c r="Q3" s="21"/>
      <c r="R3" s="20"/>
      <c r="S3" s="20"/>
      <c r="T3" s="20"/>
    </row>
    <row r="4" spans="1:20" ht="29.25" customHeight="1">
      <c r="A4" s="22" t="s">
        <v>4</v>
      </c>
      <c r="B4" s="23"/>
      <c r="C4" s="23"/>
      <c r="D4" s="23"/>
      <c r="E4" s="23"/>
      <c r="F4" s="24"/>
      <c r="G4" s="23">
        <v>180</v>
      </c>
      <c r="H4" s="23"/>
      <c r="I4" s="23" t="s">
        <v>5</v>
      </c>
      <c r="J4" s="24"/>
      <c r="K4" s="25" t="s">
        <v>6</v>
      </c>
      <c r="L4" s="23"/>
      <c r="M4" s="23"/>
      <c r="N4" s="23"/>
      <c r="O4" s="23"/>
      <c r="P4" s="24"/>
      <c r="Q4" s="23">
        <f>F2</f>
        <v>25</v>
      </c>
      <c r="R4" s="23"/>
      <c r="S4" s="23" t="s">
        <v>7</v>
      </c>
      <c r="T4" s="24"/>
    </row>
    <row r="5" spans="1:20" ht="29.25" customHeight="1">
      <c r="A5" s="25" t="s">
        <v>8</v>
      </c>
      <c r="B5" s="23"/>
      <c r="C5" s="23"/>
      <c r="D5" s="23"/>
      <c r="E5" s="23"/>
      <c r="F5" s="24"/>
      <c r="G5" s="26">
        <f>J2</f>
        <v>8</v>
      </c>
      <c r="H5" s="23"/>
      <c r="I5" s="23" t="s">
        <v>9</v>
      </c>
      <c r="J5" s="24"/>
      <c r="K5" s="25" t="s">
        <v>10</v>
      </c>
      <c r="L5" s="23"/>
      <c r="M5" s="23"/>
      <c r="N5" s="23"/>
      <c r="O5" s="23"/>
      <c r="P5" s="24"/>
      <c r="Q5" s="23">
        <v>4.5</v>
      </c>
      <c r="R5" s="23"/>
      <c r="S5" s="23" t="s">
        <v>11</v>
      </c>
      <c r="T5" s="24"/>
    </row>
    <row r="6" spans="1:20" ht="29.25" customHeight="1">
      <c r="A6" s="22" t="s">
        <v>12</v>
      </c>
      <c r="B6" s="23"/>
      <c r="C6" s="23"/>
      <c r="D6" s="23"/>
      <c r="E6" s="23"/>
      <c r="F6" s="24"/>
      <c r="G6" s="27">
        <v>23.08</v>
      </c>
      <c r="H6" s="23"/>
      <c r="I6" s="23" t="s">
        <v>5</v>
      </c>
      <c r="J6" s="24"/>
      <c r="K6" s="25" t="s">
        <v>13</v>
      </c>
      <c r="L6" s="23"/>
      <c r="M6" s="23"/>
      <c r="N6" s="23"/>
      <c r="O6" s="23"/>
      <c r="P6" s="24"/>
      <c r="Q6" s="23">
        <f>ROUND((G6/J19)*100,2)</f>
        <v>10.4</v>
      </c>
      <c r="R6" s="23"/>
      <c r="S6" s="23" t="s">
        <v>11</v>
      </c>
      <c r="T6" s="24"/>
    </row>
    <row r="7" spans="1:20" ht="29.25" customHeight="1">
      <c r="A7" s="22" t="s">
        <v>14</v>
      </c>
      <c r="B7" s="23"/>
      <c r="C7" s="23"/>
      <c r="D7" s="23"/>
      <c r="E7" s="23"/>
      <c r="F7" s="24"/>
      <c r="G7" s="27">
        <f>ROUND(J19/G4,2)</f>
        <v>1.23</v>
      </c>
      <c r="H7" s="23"/>
      <c r="I7" s="23"/>
      <c r="J7" s="24"/>
      <c r="K7" s="25" t="s">
        <v>15</v>
      </c>
      <c r="L7" s="23"/>
      <c r="M7" s="23"/>
      <c r="N7" s="23"/>
      <c r="O7" s="23"/>
      <c r="P7" s="24"/>
      <c r="Q7" s="23">
        <v>1.5</v>
      </c>
      <c r="R7" s="23"/>
      <c r="S7" s="23" t="s">
        <v>11</v>
      </c>
      <c r="T7" s="24"/>
    </row>
    <row r="8" spans="1:20" ht="29.25" customHeight="1">
      <c r="A8" s="25" t="s">
        <v>16</v>
      </c>
      <c r="B8" s="23"/>
      <c r="C8" s="23"/>
      <c r="D8" s="23"/>
      <c r="E8" s="23"/>
      <c r="F8" s="24"/>
      <c r="G8" s="27">
        <v>2.58</v>
      </c>
      <c r="H8" s="23"/>
      <c r="I8" s="23"/>
      <c r="J8" s="24"/>
      <c r="K8" s="22" t="s">
        <v>17</v>
      </c>
      <c r="L8" s="23"/>
      <c r="M8" s="23"/>
      <c r="N8" s="23"/>
      <c r="O8" s="23"/>
      <c r="P8" s="24"/>
      <c r="Q8" s="23">
        <v>0.8</v>
      </c>
      <c r="R8" s="23"/>
      <c r="S8" s="23" t="s">
        <v>11</v>
      </c>
      <c r="T8" s="24"/>
    </row>
    <row r="9" spans="1:20" ht="29.25" customHeight="1">
      <c r="A9" s="25" t="s">
        <v>18</v>
      </c>
      <c r="B9" s="23"/>
      <c r="C9" s="23"/>
      <c r="D9" s="23"/>
      <c r="E9" s="23"/>
      <c r="F9" s="24"/>
      <c r="G9" s="27">
        <v>2.7</v>
      </c>
      <c r="H9" s="23"/>
      <c r="I9" s="23"/>
      <c r="J9" s="24"/>
      <c r="K9" s="25" t="s">
        <v>19</v>
      </c>
      <c r="L9" s="23"/>
      <c r="M9" s="23"/>
      <c r="N9" s="23"/>
      <c r="O9" s="23"/>
      <c r="P9" s="24"/>
      <c r="Q9" s="23">
        <v>3.05</v>
      </c>
      <c r="R9" s="23"/>
      <c r="S9" s="23"/>
      <c r="T9" s="24"/>
    </row>
    <row r="10" spans="1:20" ht="29.25" customHeight="1">
      <c r="A10" s="25" t="s">
        <v>20</v>
      </c>
      <c r="B10" s="23"/>
      <c r="C10" s="23"/>
      <c r="D10" s="23"/>
      <c r="E10" s="23"/>
      <c r="F10" s="24"/>
      <c r="G10" s="28">
        <v>2.8</v>
      </c>
      <c r="H10" s="23"/>
      <c r="I10" s="23"/>
      <c r="J10" s="24"/>
      <c r="K10" s="22" t="s">
        <v>21</v>
      </c>
      <c r="L10" s="23"/>
      <c r="M10" s="23"/>
      <c r="N10" s="23"/>
      <c r="O10" s="23"/>
      <c r="P10" s="24"/>
      <c r="Q10" s="23" t="s">
        <v>22</v>
      </c>
      <c r="R10" s="23"/>
      <c r="S10" s="23"/>
      <c r="T10" s="24"/>
    </row>
    <row r="11" spans="1:20" ht="42.75" customHeight="1">
      <c r="A11" s="21"/>
      <c r="B11" s="21"/>
      <c r="C11" s="21"/>
      <c r="D11" s="21"/>
      <c r="E11" s="21"/>
      <c r="F11" s="21"/>
      <c r="G11" s="20"/>
      <c r="H11" s="20"/>
      <c r="I11" s="21"/>
      <c r="J11" s="21"/>
      <c r="K11" s="29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9" customFormat="1" ht="35.25" customHeight="1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30"/>
      <c r="L12" s="20"/>
      <c r="M12" s="20"/>
      <c r="N12" s="20"/>
      <c r="O12" s="20"/>
      <c r="P12" s="20"/>
      <c r="Q12" s="20"/>
      <c r="R12" s="20"/>
      <c r="S12" s="20"/>
      <c r="T12" s="20"/>
    </row>
    <row r="13" spans="1:21" ht="44.25" customHeight="1">
      <c r="A13" s="31" t="s">
        <v>24</v>
      </c>
      <c r="B13" s="32"/>
      <c r="C13" s="32"/>
      <c r="D13" s="33" t="s">
        <v>25</v>
      </c>
      <c r="E13" s="34"/>
      <c r="F13" s="34"/>
      <c r="G13" s="34"/>
      <c r="H13" s="34"/>
      <c r="I13" s="34"/>
      <c r="J13" s="34"/>
      <c r="K13" s="32"/>
      <c r="L13" s="34"/>
      <c r="M13" s="34"/>
      <c r="N13" s="35"/>
      <c r="O13" s="33"/>
      <c r="P13" s="36"/>
      <c r="Q13" s="37"/>
      <c r="R13" s="38"/>
      <c r="S13" s="38"/>
      <c r="T13" s="39"/>
      <c r="U13" s="40"/>
    </row>
    <row r="14" spans="1:20" s="19" customFormat="1" ht="26.25" customHeight="1">
      <c r="A14" s="41"/>
      <c r="B14" s="21"/>
      <c r="C14" s="21"/>
      <c r="D14" s="42"/>
      <c r="E14" s="20"/>
      <c r="F14" s="20"/>
      <c r="G14" s="20"/>
      <c r="H14" s="21"/>
      <c r="I14" s="20"/>
      <c r="J14" s="21" t="s">
        <v>26</v>
      </c>
      <c r="K14" s="20">
        <f>G4</f>
        <v>180</v>
      </c>
      <c r="L14" s="20" t="s">
        <v>27</v>
      </c>
      <c r="M14" s="43">
        <v>1.64</v>
      </c>
      <c r="N14" s="44" t="s">
        <v>28</v>
      </c>
      <c r="O14" s="45">
        <f>G6</f>
        <v>23.08</v>
      </c>
      <c r="P14" s="46" t="s">
        <v>29</v>
      </c>
      <c r="Q14" s="20">
        <f>ROUND(K14+M14*O14,0)</f>
        <v>218</v>
      </c>
      <c r="R14" s="20"/>
      <c r="S14" s="20"/>
      <c r="T14" s="47"/>
    </row>
    <row r="15" spans="1:21" ht="47.25" customHeight="1">
      <c r="A15" s="48" t="s">
        <v>30</v>
      </c>
      <c r="B15" s="49"/>
      <c r="C15" s="49"/>
      <c r="D15" s="50" t="s">
        <v>31</v>
      </c>
      <c r="E15" s="49"/>
      <c r="F15" s="49"/>
      <c r="G15" s="49"/>
      <c r="H15" s="49"/>
      <c r="I15" s="49"/>
      <c r="J15" s="49"/>
      <c r="K15" s="51"/>
      <c r="L15" s="52"/>
      <c r="M15" s="49"/>
      <c r="N15" s="49"/>
      <c r="O15" s="52"/>
      <c r="P15" s="52"/>
      <c r="Q15" s="53"/>
      <c r="R15" s="54"/>
      <c r="S15" s="55"/>
      <c r="T15" s="56"/>
      <c r="U15" s="40"/>
    </row>
    <row r="16" spans="1:20" s="19" customFormat="1" ht="27.75" customHeight="1">
      <c r="A16" s="57"/>
      <c r="B16" s="20"/>
      <c r="C16" s="20"/>
      <c r="D16" s="42"/>
      <c r="E16" s="20"/>
      <c r="F16" s="20"/>
      <c r="G16" s="20"/>
      <c r="H16" s="20"/>
      <c r="I16" s="20"/>
      <c r="J16" s="21" t="s">
        <v>26</v>
      </c>
      <c r="K16" s="46">
        <v>0.85</v>
      </c>
      <c r="L16" s="58" t="s">
        <v>28</v>
      </c>
      <c r="M16" s="20">
        <f>K14</f>
        <v>180</v>
      </c>
      <c r="N16" s="46" t="s">
        <v>27</v>
      </c>
      <c r="O16" s="46">
        <v>3</v>
      </c>
      <c r="P16" s="59" t="s">
        <v>28</v>
      </c>
      <c r="Q16" s="60">
        <f>O14</f>
        <v>23.08</v>
      </c>
      <c r="R16" s="61" t="s">
        <v>32</v>
      </c>
      <c r="S16" s="46">
        <f>ROUND(K16*M16+O16*Q16,0)</f>
        <v>222</v>
      </c>
      <c r="T16" s="62"/>
    </row>
    <row r="17" spans="1:21" ht="40.5" customHeight="1">
      <c r="A17" s="48" t="s">
        <v>33</v>
      </c>
      <c r="B17" s="49"/>
      <c r="C17" s="51" t="s">
        <v>34</v>
      </c>
      <c r="D17" s="49" t="s">
        <v>35</v>
      </c>
      <c r="E17" s="49"/>
      <c r="F17" s="49"/>
      <c r="G17" s="49"/>
      <c r="H17" s="49"/>
      <c r="I17" s="49"/>
      <c r="J17" s="49"/>
      <c r="K17" s="63"/>
      <c r="L17" s="49"/>
      <c r="M17" s="49"/>
      <c r="N17" s="49"/>
      <c r="O17" s="49"/>
      <c r="P17" s="49"/>
      <c r="Q17" s="49"/>
      <c r="R17" s="49"/>
      <c r="S17" s="49"/>
      <c r="T17" s="64"/>
      <c r="U17" s="40"/>
    </row>
    <row r="18" spans="1:21" ht="27.75" customHeight="1">
      <c r="A18" s="48" t="s">
        <v>36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49"/>
      <c r="O18" s="49"/>
      <c r="P18" s="49"/>
      <c r="Q18" s="49"/>
      <c r="R18" s="49"/>
      <c r="S18" s="49"/>
      <c r="T18" s="64"/>
      <c r="U18" s="40"/>
    </row>
    <row r="19" spans="1:20" ht="27.75" customHeight="1">
      <c r="A19" s="66" t="s">
        <v>37</v>
      </c>
      <c r="B19" s="51"/>
      <c r="C19" s="51"/>
      <c r="D19" s="51"/>
      <c r="E19" s="51"/>
      <c r="F19" s="51" t="s">
        <v>34</v>
      </c>
      <c r="G19" s="51" t="s">
        <v>38</v>
      </c>
      <c r="H19" s="51"/>
      <c r="I19" s="51" t="s">
        <v>26</v>
      </c>
      <c r="J19" s="67">
        <f>MAX(Q14,S16)</f>
        <v>222</v>
      </c>
      <c r="K19" s="68"/>
      <c r="L19" s="68" t="s">
        <v>39</v>
      </c>
      <c r="M19" s="69"/>
      <c r="N19" s="65"/>
      <c r="O19" s="65"/>
      <c r="P19" s="65"/>
      <c r="Q19" s="65"/>
      <c r="R19" s="65"/>
      <c r="S19" s="65"/>
      <c r="T19" s="70"/>
    </row>
    <row r="20" spans="1:20" ht="15" customHeight="1">
      <c r="A20" s="71"/>
      <c r="B20" s="72"/>
      <c r="C20" s="72"/>
      <c r="D20" s="72"/>
      <c r="E20" s="72"/>
      <c r="F20" s="72"/>
      <c r="G20" s="72"/>
      <c r="H20" s="72"/>
      <c r="I20" s="72"/>
      <c r="J20" s="73"/>
      <c r="K20" s="74"/>
      <c r="L20" s="74"/>
      <c r="M20" s="75"/>
      <c r="N20" s="76"/>
      <c r="O20" s="76"/>
      <c r="P20" s="76"/>
      <c r="Q20" s="76"/>
      <c r="R20" s="76"/>
      <c r="S20" s="76"/>
      <c r="T20" s="77"/>
    </row>
    <row r="21" ht="56.25" customHeight="1"/>
    <row r="22" ht="19.5" customHeight="1">
      <c r="A22" s="7" t="s">
        <v>40</v>
      </c>
    </row>
    <row r="23" ht="16.5" customHeight="1"/>
    <row r="24" ht="16.5" customHeight="1">
      <c r="A24" s="7" t="s">
        <v>41</v>
      </c>
    </row>
    <row r="25" spans="1:13" ht="16.5" customHeight="1">
      <c r="A25" s="7" t="s">
        <v>42</v>
      </c>
      <c r="B25" s="78" t="s">
        <v>43</v>
      </c>
      <c r="C25" s="78"/>
      <c r="D25" s="78" t="s">
        <v>26</v>
      </c>
      <c r="E25" s="78"/>
      <c r="F25" s="78">
        <v>-74</v>
      </c>
      <c r="G25" s="78"/>
      <c r="H25" s="78" t="s">
        <v>44</v>
      </c>
      <c r="I25" s="78"/>
      <c r="J25" s="78">
        <v>162</v>
      </c>
      <c r="L25" s="7" t="s">
        <v>45</v>
      </c>
      <c r="M25" s="7" t="s">
        <v>46</v>
      </c>
    </row>
    <row r="26" spans="2:12" ht="16.5" customHeight="1">
      <c r="B26" s="79">
        <f>J19</f>
        <v>222</v>
      </c>
      <c r="C26" s="78"/>
      <c r="D26" s="78" t="s">
        <v>26</v>
      </c>
      <c r="E26" s="78"/>
      <c r="F26" s="78">
        <v>-74</v>
      </c>
      <c r="G26" s="78"/>
      <c r="H26" s="78" t="s">
        <v>44</v>
      </c>
      <c r="I26" s="78"/>
      <c r="J26" s="78">
        <v>162</v>
      </c>
      <c r="L26" s="7" t="s">
        <v>45</v>
      </c>
    </row>
    <row r="27" spans="2:18" ht="16.5" customHeight="1">
      <c r="B27" s="78" t="s">
        <v>47</v>
      </c>
      <c r="C27" s="78"/>
      <c r="D27" s="78" t="s">
        <v>26</v>
      </c>
      <c r="E27" s="78"/>
      <c r="F27" s="78" t="s">
        <v>48</v>
      </c>
      <c r="G27" s="78">
        <f>J26</f>
        <v>162</v>
      </c>
      <c r="H27" s="80" t="s">
        <v>195</v>
      </c>
      <c r="I27" s="81">
        <v>74</v>
      </c>
      <c r="J27" s="79" t="s">
        <v>44</v>
      </c>
      <c r="K27" s="79">
        <f>J19</f>
        <v>222</v>
      </c>
      <c r="L27" s="78" t="s">
        <v>49</v>
      </c>
      <c r="M27" s="82" t="s">
        <v>196</v>
      </c>
      <c r="N27" s="78"/>
      <c r="O27" s="78" t="s">
        <v>26</v>
      </c>
      <c r="P27" s="83">
        <f>ROUND((G27/(I27+K27))*100,1)</f>
        <v>54.7</v>
      </c>
      <c r="Q27" s="78"/>
      <c r="R27" s="78" t="s">
        <v>11</v>
      </c>
    </row>
    <row r="28" spans="1:17" ht="20.25" customHeight="1">
      <c r="A28" s="84" t="s">
        <v>50</v>
      </c>
      <c r="P28" s="7">
        <v>60</v>
      </c>
      <c r="Q28" s="84" t="s">
        <v>51</v>
      </c>
    </row>
    <row r="29" spans="1:9" ht="20.25" customHeight="1">
      <c r="A29" s="7" t="s">
        <v>52</v>
      </c>
      <c r="H29" s="7">
        <v>55</v>
      </c>
      <c r="I29" s="84" t="s">
        <v>53</v>
      </c>
    </row>
    <row r="30" spans="1:10" ht="20.25" customHeight="1">
      <c r="A30" s="7" t="s">
        <v>54</v>
      </c>
      <c r="H30" s="7" t="s">
        <v>55</v>
      </c>
      <c r="J30" s="7" t="s">
        <v>56</v>
      </c>
    </row>
    <row r="31" spans="2:17" ht="16.5" customHeight="1">
      <c r="B31" s="7" t="s">
        <v>57</v>
      </c>
      <c r="C31" s="7" t="s">
        <v>58</v>
      </c>
      <c r="M31" s="7" t="s">
        <v>47</v>
      </c>
      <c r="N31" s="7" t="s">
        <v>26</v>
      </c>
      <c r="O31" s="83">
        <f>P27</f>
        <v>54.7</v>
      </c>
      <c r="P31" s="78"/>
      <c r="Q31" s="84" t="s">
        <v>59</v>
      </c>
    </row>
    <row r="32" ht="22.5" customHeight="1"/>
    <row r="33" ht="16.5" customHeight="1">
      <c r="A33" s="7" t="s">
        <v>60</v>
      </c>
    </row>
    <row r="34" spans="1:12" ht="16.5" customHeight="1">
      <c r="A34" s="7" t="s">
        <v>61</v>
      </c>
      <c r="B34" s="7" t="s">
        <v>47</v>
      </c>
      <c r="C34" s="7" t="s">
        <v>26</v>
      </c>
      <c r="D34" s="7">
        <v>55</v>
      </c>
      <c r="E34" s="7" t="s">
        <v>11</v>
      </c>
      <c r="F34" s="7" t="s">
        <v>62</v>
      </c>
      <c r="H34" s="7">
        <v>8</v>
      </c>
      <c r="I34" s="7" t="s">
        <v>63</v>
      </c>
      <c r="J34" s="7" t="s">
        <v>64</v>
      </c>
      <c r="L34" s="7">
        <v>2.8</v>
      </c>
    </row>
    <row r="35" spans="1:20" ht="16.5" customHeight="1">
      <c r="A35" s="85" t="s">
        <v>65</v>
      </c>
      <c r="B35" s="86"/>
      <c r="C35" s="86"/>
      <c r="D35" s="87"/>
      <c r="E35" s="86" t="s">
        <v>66</v>
      </c>
      <c r="F35" s="86"/>
      <c r="G35" s="86"/>
      <c r="H35" s="87"/>
      <c r="I35" s="86" t="s">
        <v>67</v>
      </c>
      <c r="J35" s="86"/>
      <c r="K35" s="86"/>
      <c r="L35" s="87"/>
      <c r="M35" s="86" t="s">
        <v>68</v>
      </c>
      <c r="N35" s="86"/>
      <c r="O35" s="86"/>
      <c r="P35" s="87"/>
      <c r="Q35" s="86" t="s">
        <v>69</v>
      </c>
      <c r="R35" s="86"/>
      <c r="S35" s="86"/>
      <c r="T35" s="87"/>
    </row>
    <row r="36" spans="1:20" ht="16.5" customHeight="1">
      <c r="A36" s="71">
        <v>25</v>
      </c>
      <c r="B36" s="72"/>
      <c r="C36" s="72"/>
      <c r="D36" s="88"/>
      <c r="E36" s="72">
        <v>43</v>
      </c>
      <c r="F36" s="72"/>
      <c r="G36" s="72"/>
      <c r="H36" s="88"/>
      <c r="I36" s="72">
        <v>160</v>
      </c>
      <c r="J36" s="72"/>
      <c r="K36" s="72"/>
      <c r="L36" s="88"/>
      <c r="M36" s="72">
        <v>5</v>
      </c>
      <c r="N36" s="72"/>
      <c r="O36" s="72"/>
      <c r="P36" s="88"/>
      <c r="Q36" s="89"/>
      <c r="R36" s="72"/>
      <c r="S36" s="72"/>
      <c r="T36" s="88"/>
    </row>
    <row r="37" ht="16.5" customHeight="1"/>
    <row r="38" ht="16.5" customHeight="1">
      <c r="A38" s="84" t="s">
        <v>70</v>
      </c>
    </row>
    <row r="39" spans="1:20" ht="17.25" customHeight="1">
      <c r="A39" s="85" t="s">
        <v>71</v>
      </c>
      <c r="B39" s="86"/>
      <c r="C39" s="86"/>
      <c r="D39" s="86"/>
      <c r="E39" s="87"/>
      <c r="F39" s="86" t="s">
        <v>72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7"/>
      <c r="R39" s="86" t="s">
        <v>73</v>
      </c>
      <c r="S39" s="86"/>
      <c r="T39" s="87"/>
    </row>
    <row r="40" spans="1:20" ht="17.25" customHeight="1">
      <c r="A40" s="71" t="s">
        <v>74</v>
      </c>
      <c r="B40" s="72"/>
      <c r="C40" s="72"/>
      <c r="D40" s="86"/>
      <c r="E40" s="88"/>
      <c r="F40" s="72" t="s">
        <v>48</v>
      </c>
      <c r="G40" s="90">
        <f>G10</f>
        <v>2.8</v>
      </c>
      <c r="H40" s="72" t="s">
        <v>75</v>
      </c>
      <c r="I40" s="72">
        <f>L34</f>
        <v>2.8</v>
      </c>
      <c r="J40" s="72" t="s">
        <v>3</v>
      </c>
      <c r="K40" s="91" t="s">
        <v>76</v>
      </c>
      <c r="L40" s="72">
        <v>0.1</v>
      </c>
      <c r="M40" s="91" t="s">
        <v>28</v>
      </c>
      <c r="N40" s="72">
        <v>0.5</v>
      </c>
      <c r="O40" s="72"/>
      <c r="P40" s="89"/>
      <c r="Q40" s="88"/>
      <c r="R40" s="72">
        <f>ROUND((G40-I40)/L40*N40,2)</f>
        <v>0</v>
      </c>
      <c r="S40" s="72"/>
      <c r="T40" s="88"/>
    </row>
    <row r="41" spans="1:20" ht="17.25" customHeight="1">
      <c r="A41" s="71" t="s">
        <v>77</v>
      </c>
      <c r="B41" s="72"/>
      <c r="C41" s="72"/>
      <c r="D41" s="86"/>
      <c r="E41" s="88"/>
      <c r="F41" s="72" t="s">
        <v>48</v>
      </c>
      <c r="G41" s="92">
        <f>ROUND(O31/100,2)</f>
        <v>0.55</v>
      </c>
      <c r="H41" s="72"/>
      <c r="I41" s="72" t="s">
        <v>75</v>
      </c>
      <c r="J41" s="72">
        <f>ROUND(D34/100,2)</f>
        <v>0.55</v>
      </c>
      <c r="K41" s="72"/>
      <c r="L41" s="72" t="s">
        <v>3</v>
      </c>
      <c r="M41" s="93" t="s">
        <v>76</v>
      </c>
      <c r="N41" s="72">
        <v>0.05</v>
      </c>
      <c r="O41" s="72"/>
      <c r="P41" s="72"/>
      <c r="Q41" s="77"/>
      <c r="R41" s="92">
        <f>ROUND((G41-J41)/N41,2)</f>
        <v>0</v>
      </c>
      <c r="S41" s="94"/>
      <c r="T41" s="95"/>
    </row>
    <row r="42" spans="1:20" ht="17.25" customHeight="1">
      <c r="A42" s="71" t="s">
        <v>78</v>
      </c>
      <c r="B42" s="72"/>
      <c r="C42" s="72"/>
      <c r="D42" s="86"/>
      <c r="E42" s="96"/>
      <c r="F42" s="72" t="s">
        <v>48</v>
      </c>
      <c r="G42" s="72">
        <f>Q5</f>
        <v>4.5</v>
      </c>
      <c r="H42" s="72"/>
      <c r="I42" s="72" t="s">
        <v>75</v>
      </c>
      <c r="J42" s="72">
        <f>M36</f>
        <v>5</v>
      </c>
      <c r="K42" s="72"/>
      <c r="L42" s="72" t="s">
        <v>3</v>
      </c>
      <c r="M42" s="91" t="s">
        <v>28</v>
      </c>
      <c r="N42" s="72">
        <v>-0.75</v>
      </c>
      <c r="O42" s="72"/>
      <c r="P42" s="72"/>
      <c r="Q42" s="77"/>
      <c r="R42" s="92">
        <f>ROUND((G42-J42)*N42,2)</f>
        <v>0.38</v>
      </c>
      <c r="S42" s="94"/>
      <c r="T42" s="95"/>
    </row>
    <row r="43" spans="1:20" ht="17.25" customHeight="1">
      <c r="A43" s="71" t="s">
        <v>79</v>
      </c>
      <c r="B43" s="72"/>
      <c r="C43" s="72"/>
      <c r="D43" s="86"/>
      <c r="E43" s="96"/>
      <c r="F43" s="97"/>
      <c r="G43" s="97"/>
      <c r="H43" s="97"/>
      <c r="I43" s="89">
        <v>3</v>
      </c>
      <c r="J43" s="97"/>
      <c r="K43" s="97" t="s">
        <v>80</v>
      </c>
      <c r="L43" s="97"/>
      <c r="M43" s="97">
        <v>5</v>
      </c>
      <c r="N43" s="97"/>
      <c r="O43" s="97"/>
      <c r="P43" s="97"/>
      <c r="Q43" s="98"/>
      <c r="R43" s="94">
        <v>3</v>
      </c>
      <c r="S43" s="94"/>
      <c r="T43" s="95"/>
    </row>
    <row r="44" spans="1:20" ht="17.25" customHeight="1">
      <c r="A44" s="71" t="s">
        <v>81</v>
      </c>
      <c r="B44" s="72"/>
      <c r="C44" s="72"/>
      <c r="D44" s="86"/>
      <c r="E44" s="88"/>
      <c r="F44" s="72">
        <f>E36</f>
        <v>43</v>
      </c>
      <c r="G44" s="72" t="s">
        <v>44</v>
      </c>
      <c r="H44" s="72">
        <f>R40</f>
        <v>0</v>
      </c>
      <c r="I44" s="72" t="s">
        <v>44</v>
      </c>
      <c r="J44" s="92">
        <f>R41</f>
        <v>0</v>
      </c>
      <c r="K44" s="72"/>
      <c r="L44" s="72" t="s">
        <v>44</v>
      </c>
      <c r="M44" s="72">
        <f>R42</f>
        <v>0.38</v>
      </c>
      <c r="N44" s="72"/>
      <c r="O44" s="99" t="s">
        <v>44</v>
      </c>
      <c r="P44" s="94">
        <f>R43</f>
        <v>3</v>
      </c>
      <c r="Q44" s="77"/>
      <c r="R44" s="90">
        <f>ROUND(F44+H44+J44+M44+P44,1)</f>
        <v>46.4</v>
      </c>
      <c r="S44" s="94"/>
      <c r="T44" s="95"/>
    </row>
    <row r="45" ht="21" customHeight="1">
      <c r="A45" s="84" t="s">
        <v>82</v>
      </c>
    </row>
    <row r="46" spans="1:20" ht="16.5" customHeight="1">
      <c r="A46" s="85" t="s">
        <v>71</v>
      </c>
      <c r="B46" s="86"/>
      <c r="C46" s="86"/>
      <c r="D46" s="86"/>
      <c r="E46" s="87"/>
      <c r="F46" s="86" t="s">
        <v>72</v>
      </c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7"/>
      <c r="R46" s="86" t="s">
        <v>73</v>
      </c>
      <c r="S46" s="86"/>
      <c r="T46" s="87"/>
    </row>
    <row r="47" spans="1:20" ht="16.5" customHeight="1">
      <c r="A47" s="71" t="s">
        <v>83</v>
      </c>
      <c r="B47" s="72"/>
      <c r="C47" s="72"/>
      <c r="D47" s="86"/>
      <c r="E47" s="88"/>
      <c r="F47" s="72" t="s">
        <v>48</v>
      </c>
      <c r="G47" s="94">
        <f>G5</f>
        <v>8</v>
      </c>
      <c r="H47" s="72" t="s">
        <v>75</v>
      </c>
      <c r="I47" s="72">
        <f>H34</f>
        <v>8</v>
      </c>
      <c r="J47" s="72" t="s">
        <v>3</v>
      </c>
      <c r="K47" s="91" t="s">
        <v>28</v>
      </c>
      <c r="L47" s="72">
        <v>0.012</v>
      </c>
      <c r="M47" s="72"/>
      <c r="N47" s="91" t="s">
        <v>28</v>
      </c>
      <c r="O47" s="72">
        <f>I36</f>
        <v>160</v>
      </c>
      <c r="P47" s="72"/>
      <c r="Q47" s="100"/>
      <c r="R47" s="92">
        <f>ROUND((G47-I47)*L47*O47,2)</f>
        <v>0</v>
      </c>
      <c r="S47" s="94"/>
      <c r="T47" s="95"/>
    </row>
    <row r="48" spans="1:20" ht="16.5" customHeight="1">
      <c r="A48" s="71" t="s">
        <v>78</v>
      </c>
      <c r="B48" s="72"/>
      <c r="C48" s="72"/>
      <c r="D48" s="86"/>
      <c r="E48" s="96"/>
      <c r="F48" s="72" t="s">
        <v>48</v>
      </c>
      <c r="G48" s="72">
        <f>Q5</f>
        <v>4.5</v>
      </c>
      <c r="H48" s="72" t="s">
        <v>75</v>
      </c>
      <c r="I48" s="72">
        <f>M36</f>
        <v>5</v>
      </c>
      <c r="J48" s="72" t="s">
        <v>3</v>
      </c>
      <c r="K48" s="91" t="s">
        <v>28</v>
      </c>
      <c r="L48" s="72">
        <v>-0.03</v>
      </c>
      <c r="M48" s="72"/>
      <c r="N48" s="93" t="s">
        <v>28</v>
      </c>
      <c r="O48" s="72">
        <f>O47</f>
        <v>160</v>
      </c>
      <c r="P48" s="72"/>
      <c r="Q48" s="77"/>
      <c r="R48" s="92">
        <f>ROUND((G48-I48)*L48*O48,2)</f>
        <v>2.4</v>
      </c>
      <c r="S48" s="94"/>
      <c r="T48" s="95"/>
    </row>
    <row r="49" spans="1:20" ht="16.5" customHeight="1">
      <c r="A49" s="101" t="s">
        <v>79</v>
      </c>
      <c r="B49" s="102"/>
      <c r="C49" s="102"/>
      <c r="D49" s="103"/>
      <c r="E49" s="104"/>
      <c r="F49" s="76"/>
      <c r="G49" s="76"/>
      <c r="H49" s="76"/>
      <c r="I49" s="76">
        <v>9</v>
      </c>
      <c r="J49" s="76"/>
      <c r="K49" s="76" t="s">
        <v>80</v>
      </c>
      <c r="L49" s="76"/>
      <c r="M49" s="76">
        <v>15</v>
      </c>
      <c r="N49" s="76"/>
      <c r="O49" s="76"/>
      <c r="P49" s="76"/>
      <c r="Q49" s="77"/>
      <c r="R49" s="92">
        <v>9</v>
      </c>
      <c r="S49" s="94"/>
      <c r="T49" s="95"/>
    </row>
    <row r="50" spans="1:20" ht="16.5" customHeight="1">
      <c r="A50" s="101" t="s">
        <v>81</v>
      </c>
      <c r="B50" s="72"/>
      <c r="C50" s="102"/>
      <c r="D50" s="103"/>
      <c r="E50" s="104"/>
      <c r="F50" s="72" t="s">
        <v>48</v>
      </c>
      <c r="G50" s="90">
        <f>R44</f>
        <v>46.4</v>
      </c>
      <c r="H50" s="72"/>
      <c r="I50" s="72" t="s">
        <v>75</v>
      </c>
      <c r="J50" s="90">
        <f>E36</f>
        <v>43</v>
      </c>
      <c r="K50" s="72"/>
      <c r="L50" s="72" t="s">
        <v>3</v>
      </c>
      <c r="M50" s="91" t="s">
        <v>28</v>
      </c>
      <c r="N50" s="72">
        <v>1.5</v>
      </c>
      <c r="O50" s="72"/>
      <c r="P50" s="76"/>
      <c r="Q50" s="77"/>
      <c r="R50" s="92">
        <f>ROUND((G50-J50)*N50,2)</f>
        <v>5.1</v>
      </c>
      <c r="S50" s="94"/>
      <c r="T50" s="95"/>
    </row>
    <row r="51" spans="1:20" ht="16.5" customHeight="1">
      <c r="A51" s="71" t="s">
        <v>67</v>
      </c>
      <c r="B51" s="72"/>
      <c r="C51" s="72"/>
      <c r="D51" s="86"/>
      <c r="E51" s="88"/>
      <c r="F51" s="72">
        <f>I36</f>
        <v>160</v>
      </c>
      <c r="G51" s="72" t="s">
        <v>44</v>
      </c>
      <c r="H51" s="92">
        <f>R47</f>
        <v>0</v>
      </c>
      <c r="I51" s="72" t="s">
        <v>44</v>
      </c>
      <c r="J51" s="92">
        <f>R48</f>
        <v>2.4</v>
      </c>
      <c r="K51" s="72"/>
      <c r="L51" s="72" t="s">
        <v>44</v>
      </c>
      <c r="M51" s="90">
        <f>R49</f>
        <v>9</v>
      </c>
      <c r="N51" s="72" t="s">
        <v>44</v>
      </c>
      <c r="O51" s="92">
        <f>R50</f>
        <v>5.1</v>
      </c>
      <c r="P51" s="72"/>
      <c r="Q51" s="77"/>
      <c r="R51" s="90">
        <f>ROUND(F51+H51+J51+M51+O51,5)</f>
        <v>176.5</v>
      </c>
      <c r="S51" s="94"/>
      <c r="T51" s="95"/>
    </row>
    <row r="52" ht="12" customHeight="1"/>
    <row r="53" ht="16.5" customHeight="1">
      <c r="A53" s="7" t="s">
        <v>84</v>
      </c>
    </row>
    <row r="54" spans="1:18" ht="16.5" customHeight="1">
      <c r="A54" s="7" t="s">
        <v>85</v>
      </c>
      <c r="B54" s="7" t="s">
        <v>86</v>
      </c>
      <c r="F54" s="7" t="s">
        <v>34</v>
      </c>
      <c r="G54" s="7" t="s">
        <v>87</v>
      </c>
      <c r="L54" s="105">
        <f>O31</f>
        <v>54.7</v>
      </c>
      <c r="M54" s="84" t="s">
        <v>88</v>
      </c>
      <c r="O54" s="105">
        <f>R51</f>
        <v>176.5</v>
      </c>
      <c r="Q54" s="7" t="s">
        <v>89</v>
      </c>
      <c r="R54" s="7" t="s">
        <v>90</v>
      </c>
    </row>
    <row r="55" spans="6:15" ht="16.5" customHeight="1">
      <c r="F55" s="7" t="s">
        <v>91</v>
      </c>
      <c r="G55" s="79">
        <f>O54</f>
        <v>176.5</v>
      </c>
      <c r="H55" s="78"/>
      <c r="I55" s="106" t="s">
        <v>76</v>
      </c>
      <c r="J55" s="107">
        <f>ROUND(L54/100,2)</f>
        <v>0.55</v>
      </c>
      <c r="K55" s="107"/>
      <c r="L55" s="7" t="s">
        <v>26</v>
      </c>
      <c r="M55" s="79">
        <f>ROUND(G55/J55,0)</f>
        <v>321</v>
      </c>
      <c r="N55" s="79"/>
      <c r="O55" s="7" t="s">
        <v>89</v>
      </c>
    </row>
    <row r="56" spans="1:15" ht="16.5" customHeight="1">
      <c r="A56" s="7" t="s">
        <v>85</v>
      </c>
      <c r="B56" s="7" t="s">
        <v>92</v>
      </c>
      <c r="F56" s="7" t="s">
        <v>91</v>
      </c>
      <c r="G56" s="79">
        <f>M55</f>
        <v>321</v>
      </c>
      <c r="H56" s="78"/>
      <c r="I56" s="106" t="s">
        <v>76</v>
      </c>
      <c r="J56" s="78">
        <f>Q9</f>
        <v>3.05</v>
      </c>
      <c r="K56" s="78"/>
      <c r="L56" s="7" t="s">
        <v>26</v>
      </c>
      <c r="M56" s="79">
        <f>ROUND(G56/J56,0)</f>
        <v>105</v>
      </c>
      <c r="N56" s="79"/>
      <c r="O56" s="7" t="s">
        <v>93</v>
      </c>
    </row>
    <row r="57" spans="1:15" ht="16.5" customHeight="1">
      <c r="A57" s="7" t="s">
        <v>85</v>
      </c>
      <c r="B57" s="7" t="s">
        <v>94</v>
      </c>
      <c r="M57" s="78">
        <v>30</v>
      </c>
      <c r="N57" s="78"/>
      <c r="O57" s="7" t="s">
        <v>93</v>
      </c>
    </row>
    <row r="58" spans="1:20" ht="16.5" customHeight="1">
      <c r="A58" s="7" t="s">
        <v>85</v>
      </c>
      <c r="B58" s="7" t="s">
        <v>95</v>
      </c>
      <c r="F58" s="84" t="s">
        <v>96</v>
      </c>
      <c r="G58" s="7" t="s">
        <v>48</v>
      </c>
      <c r="H58" s="108">
        <f>M56/1000</f>
        <v>0.105</v>
      </c>
      <c r="I58" s="108"/>
      <c r="J58" s="108" t="s">
        <v>44</v>
      </c>
      <c r="K58" s="108">
        <f>R51/1000</f>
        <v>0.1765</v>
      </c>
      <c r="L58" s="108"/>
      <c r="M58" s="78" t="s">
        <v>44</v>
      </c>
      <c r="N58" s="78">
        <f>M57/1000</f>
        <v>0.03</v>
      </c>
      <c r="O58" s="78"/>
      <c r="P58" s="7" t="s">
        <v>3</v>
      </c>
      <c r="Q58" s="7" t="s">
        <v>26</v>
      </c>
      <c r="R58" s="108">
        <f>1-(H58+K58+N58)</f>
        <v>0.6885</v>
      </c>
      <c r="S58" s="107"/>
      <c r="T58" s="84" t="s">
        <v>97</v>
      </c>
    </row>
    <row r="59" spans="1:14" ht="16.5" customHeight="1">
      <c r="A59" s="7" t="s">
        <v>85</v>
      </c>
      <c r="B59" s="7" t="s">
        <v>98</v>
      </c>
      <c r="F59" s="108">
        <f>R58</f>
        <v>0.6885</v>
      </c>
      <c r="G59" s="78"/>
      <c r="H59" s="82" t="s">
        <v>28</v>
      </c>
      <c r="I59" s="108">
        <f>ROUND(R44/100,3)</f>
        <v>0.464</v>
      </c>
      <c r="J59" s="78"/>
      <c r="K59" s="78" t="s">
        <v>26</v>
      </c>
      <c r="L59" s="108">
        <f>ROUND(F59*I59,3)</f>
        <v>0.319</v>
      </c>
      <c r="M59" s="108"/>
      <c r="N59" s="84" t="s">
        <v>97</v>
      </c>
    </row>
    <row r="60" spans="1:14" ht="16.5" customHeight="1">
      <c r="A60" s="7" t="s">
        <v>85</v>
      </c>
      <c r="B60" s="7" t="s">
        <v>99</v>
      </c>
      <c r="F60" s="108">
        <f>R58</f>
        <v>0.6885</v>
      </c>
      <c r="G60" s="78"/>
      <c r="H60" s="78" t="s">
        <v>75</v>
      </c>
      <c r="I60" s="108">
        <f>L59</f>
        <v>0.319</v>
      </c>
      <c r="J60" s="78"/>
      <c r="K60" s="78" t="s">
        <v>26</v>
      </c>
      <c r="L60" s="108">
        <f>ROUND(F60-I60,3)</f>
        <v>0.37</v>
      </c>
      <c r="M60" s="78"/>
      <c r="N60" s="84" t="s">
        <v>97</v>
      </c>
    </row>
    <row r="61" spans="1:17" ht="21" customHeight="1">
      <c r="A61" s="7" t="s">
        <v>85</v>
      </c>
      <c r="B61" s="7" t="s">
        <v>100</v>
      </c>
      <c r="F61" s="108">
        <f>L59</f>
        <v>0.319</v>
      </c>
      <c r="G61" s="78"/>
      <c r="H61" s="82" t="s">
        <v>28</v>
      </c>
      <c r="I61" s="107">
        <f>G8</f>
        <v>2.58</v>
      </c>
      <c r="J61" s="78"/>
      <c r="K61" s="82" t="s">
        <v>28</v>
      </c>
      <c r="L61" s="78">
        <v>1000</v>
      </c>
      <c r="M61" s="78"/>
      <c r="N61" s="78" t="s">
        <v>26</v>
      </c>
      <c r="O61" s="79">
        <f>ROUND(F61*I61*L61,0)</f>
        <v>823</v>
      </c>
      <c r="P61" s="79"/>
      <c r="Q61" s="7" t="s">
        <v>89</v>
      </c>
    </row>
    <row r="62" spans="1:17" ht="21" customHeight="1">
      <c r="A62" s="7" t="s">
        <v>85</v>
      </c>
      <c r="B62" s="7" t="s">
        <v>101</v>
      </c>
      <c r="F62" s="108">
        <f>L60</f>
        <v>0.37</v>
      </c>
      <c r="G62" s="78"/>
      <c r="H62" s="82" t="s">
        <v>28</v>
      </c>
      <c r="I62" s="107">
        <f>G9</f>
        <v>2.7</v>
      </c>
      <c r="J62" s="78"/>
      <c r="K62" s="82" t="s">
        <v>28</v>
      </c>
      <c r="L62" s="78">
        <v>1000</v>
      </c>
      <c r="M62" s="78"/>
      <c r="N62" s="78" t="s">
        <v>26</v>
      </c>
      <c r="O62" s="79">
        <f>ROUND(F62*I62*L62,0)</f>
        <v>999</v>
      </c>
      <c r="P62" s="79"/>
      <c r="Q62" s="7" t="s">
        <v>89</v>
      </c>
    </row>
    <row r="63" spans="1:14" ht="22.5" customHeight="1">
      <c r="A63" s="7" t="s">
        <v>85</v>
      </c>
      <c r="B63" s="7" t="s">
        <v>102</v>
      </c>
      <c r="F63" s="79">
        <f>M55</f>
        <v>321</v>
      </c>
      <c r="G63" s="78"/>
      <c r="H63" s="82" t="s">
        <v>28</v>
      </c>
      <c r="I63" s="78">
        <v>0.003</v>
      </c>
      <c r="J63" s="78"/>
      <c r="K63" s="78" t="s">
        <v>26</v>
      </c>
      <c r="L63" s="107">
        <f>F63*I63</f>
        <v>0.963</v>
      </c>
      <c r="M63" s="107"/>
      <c r="N63" s="7" t="s">
        <v>89</v>
      </c>
    </row>
    <row r="64" ht="27.75" customHeight="1"/>
    <row r="65" ht="16.5" customHeight="1">
      <c r="A65" s="7" t="s">
        <v>103</v>
      </c>
    </row>
    <row r="66" ht="16.5" customHeight="1">
      <c r="A66" s="7" t="s">
        <v>104</v>
      </c>
    </row>
    <row r="67" ht="16.5" customHeight="1">
      <c r="A67" s="84" t="s">
        <v>105</v>
      </c>
    </row>
    <row r="68" spans="1:20" ht="19.5" customHeight="1">
      <c r="A68" s="31" t="s">
        <v>106</v>
      </c>
      <c r="B68" s="109"/>
      <c r="C68" s="32" t="s">
        <v>47</v>
      </c>
      <c r="D68" s="109"/>
      <c r="E68" s="32" t="s">
        <v>107</v>
      </c>
      <c r="F68" s="109"/>
      <c r="G68" s="32" t="s">
        <v>66</v>
      </c>
      <c r="H68" s="109"/>
      <c r="I68" s="86" t="s">
        <v>108</v>
      </c>
      <c r="J68" s="86"/>
      <c r="K68" s="86"/>
      <c r="L68" s="86"/>
      <c r="M68" s="86"/>
      <c r="N68" s="86"/>
      <c r="O68" s="86"/>
      <c r="P68" s="86"/>
      <c r="Q68" s="86"/>
      <c r="R68" s="87"/>
      <c r="S68" s="32" t="s">
        <v>69</v>
      </c>
      <c r="T68" s="109"/>
    </row>
    <row r="69" spans="1:20" ht="19.5" customHeight="1">
      <c r="A69" s="71"/>
      <c r="B69" s="88"/>
      <c r="C69" s="72" t="s">
        <v>109</v>
      </c>
      <c r="D69" s="88"/>
      <c r="E69" s="89"/>
      <c r="F69" s="88"/>
      <c r="G69" s="72" t="s">
        <v>110</v>
      </c>
      <c r="H69" s="88"/>
      <c r="I69" s="72" t="s">
        <v>111</v>
      </c>
      <c r="J69" s="88"/>
      <c r="K69" s="72" t="s">
        <v>67</v>
      </c>
      <c r="L69" s="88"/>
      <c r="M69" s="72" t="s">
        <v>112</v>
      </c>
      <c r="N69" s="88"/>
      <c r="O69" s="72" t="s">
        <v>113</v>
      </c>
      <c r="P69" s="88"/>
      <c r="Q69" s="72" t="s">
        <v>114</v>
      </c>
      <c r="R69" s="88"/>
      <c r="S69" s="89"/>
      <c r="T69" s="88"/>
    </row>
    <row r="70" spans="1:20" ht="22.5" customHeight="1">
      <c r="A70" s="71">
        <v>1</v>
      </c>
      <c r="B70" s="110" t="s">
        <v>97</v>
      </c>
      <c r="C70" s="111"/>
      <c r="D70" s="112"/>
      <c r="E70" s="51"/>
      <c r="F70" s="112"/>
      <c r="G70" s="51"/>
      <c r="H70" s="112"/>
      <c r="I70" s="94">
        <f>M55</f>
        <v>321</v>
      </c>
      <c r="J70" s="88"/>
      <c r="K70" s="94">
        <f>O54</f>
        <v>176.5</v>
      </c>
      <c r="L70" s="88"/>
      <c r="M70" s="94">
        <f>O61</f>
        <v>823</v>
      </c>
      <c r="N70" s="88"/>
      <c r="O70" s="94">
        <f>O62</f>
        <v>999</v>
      </c>
      <c r="P70" s="88"/>
      <c r="Q70" s="92">
        <f>L63</f>
        <v>0.963</v>
      </c>
      <c r="R70" s="88"/>
      <c r="S70" s="111"/>
      <c r="T70" s="112"/>
    </row>
    <row r="71" spans="1:20" ht="22.5" customHeight="1">
      <c r="A71" s="71" t="s">
        <v>115</v>
      </c>
      <c r="B71" s="88"/>
      <c r="C71" s="94">
        <f>L54</f>
        <v>54.7</v>
      </c>
      <c r="D71" s="88"/>
      <c r="E71" s="94">
        <f>G5</f>
        <v>8</v>
      </c>
      <c r="F71" s="88"/>
      <c r="G71" s="90">
        <f>R44</f>
        <v>46.4</v>
      </c>
      <c r="H71" s="88"/>
      <c r="I71" s="113">
        <f>I70*0.04</f>
        <v>12.84</v>
      </c>
      <c r="J71" s="114"/>
      <c r="K71" s="113">
        <f>K70*0.04</f>
        <v>7.0600000000000005</v>
      </c>
      <c r="L71" s="114"/>
      <c r="M71" s="113">
        <f>M70*0.04</f>
        <v>32.92</v>
      </c>
      <c r="N71" s="114"/>
      <c r="O71" s="113">
        <f>O70*0.04</f>
        <v>39.96</v>
      </c>
      <c r="P71" s="114"/>
      <c r="Q71" s="113">
        <f>Q70*0.04</f>
        <v>0.03852</v>
      </c>
      <c r="R71" s="114"/>
      <c r="S71" s="89"/>
      <c r="T71" s="88"/>
    </row>
    <row r="72" ht="19.5" customHeight="1">
      <c r="A72" s="84" t="s">
        <v>116</v>
      </c>
    </row>
    <row r="73" spans="1:22" ht="27.75" customHeight="1">
      <c r="A73" s="85" t="s">
        <v>117</v>
      </c>
      <c r="B73" s="86"/>
      <c r="C73" s="86"/>
      <c r="D73" s="86"/>
      <c r="E73" s="87"/>
      <c r="F73" s="86" t="s">
        <v>118</v>
      </c>
      <c r="G73" s="86"/>
      <c r="H73" s="86"/>
      <c r="I73" s="86"/>
      <c r="J73" s="87"/>
      <c r="K73" s="86" t="s">
        <v>119</v>
      </c>
      <c r="L73" s="86"/>
      <c r="M73" s="86"/>
      <c r="N73" s="86"/>
      <c r="O73" s="87"/>
      <c r="P73" s="86" t="s">
        <v>120</v>
      </c>
      <c r="Q73" s="86"/>
      <c r="R73" s="86"/>
      <c r="S73" s="86"/>
      <c r="T73" s="87"/>
      <c r="V73" s="105">
        <f>K247</f>
        <v>166</v>
      </c>
    </row>
    <row r="74" spans="1:22" ht="24.75" customHeight="1">
      <c r="A74" s="71">
        <v>11</v>
      </c>
      <c r="B74" s="72"/>
      <c r="C74" s="72"/>
      <c r="D74" s="72"/>
      <c r="E74" s="88"/>
      <c r="F74" s="72">
        <v>5.5</v>
      </c>
      <c r="G74" s="72"/>
      <c r="H74" s="72"/>
      <c r="I74" s="72"/>
      <c r="J74" s="88"/>
      <c r="K74" s="72" t="s">
        <v>121</v>
      </c>
      <c r="L74" s="72"/>
      <c r="M74" s="72"/>
      <c r="N74" s="72"/>
      <c r="O74" s="88"/>
      <c r="P74" s="89"/>
      <c r="Q74" s="72"/>
      <c r="R74" s="72"/>
      <c r="S74" s="72"/>
      <c r="T74" s="88"/>
      <c r="V74" s="115">
        <f>G247</f>
        <v>46.45</v>
      </c>
    </row>
    <row r="75" ht="16.5" customHeight="1"/>
    <row r="76" ht="16.5" customHeight="1">
      <c r="B76" s="7" t="s">
        <v>122</v>
      </c>
    </row>
    <row r="77" spans="1:20" ht="16.5" customHeight="1">
      <c r="A77" s="85" t="s">
        <v>71</v>
      </c>
      <c r="B77" s="86"/>
      <c r="C77" s="86"/>
      <c r="D77" s="86"/>
      <c r="E77" s="87"/>
      <c r="F77" s="86" t="s">
        <v>72</v>
      </c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7"/>
      <c r="R77" s="86" t="s">
        <v>73</v>
      </c>
      <c r="S77" s="86"/>
      <c r="T77" s="87"/>
    </row>
    <row r="78" spans="1:20" ht="16.5" customHeight="1">
      <c r="A78" s="71" t="s">
        <v>123</v>
      </c>
      <c r="B78" s="72"/>
      <c r="C78" s="72"/>
      <c r="D78" s="86"/>
      <c r="E78" s="88"/>
      <c r="F78" s="89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88"/>
      <c r="R78" s="90">
        <f>R44</f>
        <v>46.4</v>
      </c>
      <c r="S78" s="72"/>
      <c r="T78" s="88"/>
    </row>
    <row r="79" spans="1:20" ht="16.5" customHeight="1">
      <c r="A79" s="71" t="s">
        <v>83</v>
      </c>
      <c r="B79" s="72"/>
      <c r="C79" s="72"/>
      <c r="D79" s="86"/>
      <c r="E79" s="88"/>
      <c r="F79" s="72" t="s">
        <v>124</v>
      </c>
      <c r="G79" s="92"/>
      <c r="H79" s="72"/>
      <c r="I79" s="72"/>
      <c r="J79" s="72"/>
      <c r="K79" s="72"/>
      <c r="L79" s="72"/>
      <c r="M79" s="72"/>
      <c r="N79" s="72"/>
      <c r="O79" s="72"/>
      <c r="P79" s="72"/>
      <c r="Q79" s="88"/>
      <c r="R79" s="92">
        <v>0</v>
      </c>
      <c r="S79" s="94"/>
      <c r="T79" s="95"/>
    </row>
    <row r="80" spans="1:20" ht="16.5" customHeight="1">
      <c r="A80" s="71" t="s">
        <v>78</v>
      </c>
      <c r="B80" s="72"/>
      <c r="C80" s="72"/>
      <c r="D80" s="86"/>
      <c r="E80" s="96"/>
      <c r="F80" s="72" t="s">
        <v>48</v>
      </c>
      <c r="G80" s="72">
        <f>Q5</f>
        <v>4.5</v>
      </c>
      <c r="H80" s="72"/>
      <c r="I80" s="72" t="s">
        <v>75</v>
      </c>
      <c r="J80" s="72">
        <f>F74</f>
        <v>5.5</v>
      </c>
      <c r="K80" s="72"/>
      <c r="L80" s="72" t="s">
        <v>3</v>
      </c>
      <c r="M80" s="91" t="s">
        <v>28</v>
      </c>
      <c r="N80" s="72">
        <v>0.75</v>
      </c>
      <c r="O80" s="72"/>
      <c r="P80" s="72"/>
      <c r="Q80" s="77"/>
      <c r="R80" s="92">
        <f>ROUND((G80-J80)*N80,2)</f>
        <v>-0.75</v>
      </c>
      <c r="S80" s="94"/>
      <c r="T80" s="95"/>
    </row>
    <row r="81" spans="1:20" ht="16.5" customHeight="1">
      <c r="A81" s="71" t="s">
        <v>81</v>
      </c>
      <c r="B81" s="72"/>
      <c r="C81" s="72"/>
      <c r="D81" s="86"/>
      <c r="E81" s="88"/>
      <c r="F81" s="116"/>
      <c r="G81" s="90">
        <f>R78</f>
        <v>46.4</v>
      </c>
      <c r="H81" s="72"/>
      <c r="I81" s="72" t="s">
        <v>44</v>
      </c>
      <c r="J81" s="92">
        <f>R79</f>
        <v>0</v>
      </c>
      <c r="K81" s="72"/>
      <c r="L81" s="72" t="s">
        <v>44</v>
      </c>
      <c r="M81" s="72"/>
      <c r="N81" s="92">
        <f>R80</f>
        <v>-0.75</v>
      </c>
      <c r="O81" s="92"/>
      <c r="P81" s="117"/>
      <c r="Q81" s="77"/>
      <c r="R81" s="90">
        <f>ROUND(G81+J81+N81,1)</f>
        <v>45.7</v>
      </c>
      <c r="S81" s="94"/>
      <c r="T81" s="95"/>
    </row>
    <row r="82" ht="22.5" customHeight="1">
      <c r="B82" s="7" t="s">
        <v>125</v>
      </c>
    </row>
    <row r="83" spans="1:20" ht="16.5" customHeight="1">
      <c r="A83" s="85" t="s">
        <v>71</v>
      </c>
      <c r="B83" s="86"/>
      <c r="C83" s="86"/>
      <c r="D83" s="86"/>
      <c r="E83" s="87"/>
      <c r="F83" s="86" t="s">
        <v>72</v>
      </c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7"/>
      <c r="R83" s="86" t="s">
        <v>73</v>
      </c>
      <c r="S83" s="86"/>
      <c r="T83" s="87"/>
    </row>
    <row r="84" spans="1:20" ht="16.5" customHeight="1">
      <c r="A84" s="71" t="s">
        <v>123</v>
      </c>
      <c r="B84" s="72"/>
      <c r="C84" s="72"/>
      <c r="D84" s="86"/>
      <c r="E84" s="88"/>
      <c r="F84" s="89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88"/>
      <c r="R84" s="90">
        <f>R51</f>
        <v>176.5</v>
      </c>
      <c r="S84" s="72"/>
      <c r="T84" s="88"/>
    </row>
    <row r="85" spans="1:20" ht="16.5" customHeight="1">
      <c r="A85" s="71" t="s">
        <v>83</v>
      </c>
      <c r="B85" s="72"/>
      <c r="C85" s="72"/>
      <c r="D85" s="86"/>
      <c r="E85" s="88"/>
      <c r="F85" s="72" t="s">
        <v>48</v>
      </c>
      <c r="G85" s="94">
        <f>E71</f>
        <v>8</v>
      </c>
      <c r="H85" s="72" t="s">
        <v>75</v>
      </c>
      <c r="I85" s="72">
        <f>A74</f>
        <v>11</v>
      </c>
      <c r="J85" s="72" t="s">
        <v>3</v>
      </c>
      <c r="K85" s="91" t="s">
        <v>28</v>
      </c>
      <c r="L85" s="72">
        <v>0.012</v>
      </c>
      <c r="M85" s="72"/>
      <c r="N85" s="91" t="s">
        <v>28</v>
      </c>
      <c r="O85" s="94">
        <f>R84</f>
        <v>176.5</v>
      </c>
      <c r="P85" s="72"/>
      <c r="Q85" s="100"/>
      <c r="R85" s="92">
        <f>ROUND((G85-I85)*L85*O85,2)</f>
        <v>-6.35</v>
      </c>
      <c r="S85" s="94"/>
      <c r="T85" s="95"/>
    </row>
    <row r="86" spans="1:20" ht="16.5" customHeight="1">
      <c r="A86" s="71" t="s">
        <v>78</v>
      </c>
      <c r="B86" s="72"/>
      <c r="C86" s="72"/>
      <c r="D86" s="86"/>
      <c r="E86" s="96"/>
      <c r="F86" s="72" t="s">
        <v>48</v>
      </c>
      <c r="G86" s="72">
        <f>Q5</f>
        <v>4.5</v>
      </c>
      <c r="H86" s="72" t="s">
        <v>75</v>
      </c>
      <c r="I86" s="72">
        <f>F74</f>
        <v>5.5</v>
      </c>
      <c r="J86" s="72" t="s">
        <v>3</v>
      </c>
      <c r="K86" s="91" t="s">
        <v>28</v>
      </c>
      <c r="L86" s="72">
        <v>0.03</v>
      </c>
      <c r="M86" s="72"/>
      <c r="N86" s="91" t="s">
        <v>28</v>
      </c>
      <c r="O86" s="94">
        <f>R84</f>
        <v>176.5</v>
      </c>
      <c r="P86" s="72"/>
      <c r="Q86" s="77"/>
      <c r="R86" s="92">
        <f>ROUND((G86-I86)*L86*O86,2)</f>
        <v>-5.3</v>
      </c>
      <c r="S86" s="94"/>
      <c r="T86" s="95"/>
    </row>
    <row r="87" spans="1:20" ht="16.5" customHeight="1">
      <c r="A87" s="71" t="s">
        <v>66</v>
      </c>
      <c r="B87" s="72"/>
      <c r="C87" s="72"/>
      <c r="D87" s="86"/>
      <c r="E87" s="96"/>
      <c r="F87" s="72" t="s">
        <v>48</v>
      </c>
      <c r="G87" s="90">
        <f>R81</f>
        <v>45.7</v>
      </c>
      <c r="H87" s="72"/>
      <c r="I87" s="72" t="s">
        <v>75</v>
      </c>
      <c r="J87" s="90">
        <f>G81</f>
        <v>46.4</v>
      </c>
      <c r="K87" s="72"/>
      <c r="L87" s="72" t="s">
        <v>3</v>
      </c>
      <c r="M87" s="72"/>
      <c r="N87" s="91" t="s">
        <v>28</v>
      </c>
      <c r="O87" s="72">
        <f>1.5</f>
        <v>1.5</v>
      </c>
      <c r="P87" s="72"/>
      <c r="Q87" s="77"/>
      <c r="R87" s="92">
        <f>ROUND((G87-J87)*O87,2)</f>
        <v>-1.05</v>
      </c>
      <c r="S87" s="94"/>
      <c r="T87" s="95"/>
    </row>
    <row r="88" spans="1:20" ht="16.5" customHeight="1">
      <c r="A88" s="71" t="s">
        <v>67</v>
      </c>
      <c r="B88" s="72"/>
      <c r="C88" s="72"/>
      <c r="D88" s="86"/>
      <c r="E88" s="88"/>
      <c r="F88" s="116"/>
      <c r="G88" s="90">
        <f>R84</f>
        <v>176.5</v>
      </c>
      <c r="H88" s="72"/>
      <c r="I88" s="72" t="s">
        <v>44</v>
      </c>
      <c r="J88" s="92">
        <f>R85</f>
        <v>-6.35</v>
      </c>
      <c r="K88" s="72"/>
      <c r="L88" s="72" t="s">
        <v>44</v>
      </c>
      <c r="M88" s="92">
        <f>R86</f>
        <v>-5.3</v>
      </c>
      <c r="N88" s="72"/>
      <c r="O88" s="92" t="s">
        <v>44</v>
      </c>
      <c r="P88" s="92">
        <f>R87</f>
        <v>-1.05</v>
      </c>
      <c r="Q88" s="118"/>
      <c r="R88" s="90">
        <f>ROUND(G88+J88+M88+P88,5)</f>
        <v>163.8</v>
      </c>
      <c r="S88" s="94"/>
      <c r="T88" s="95"/>
    </row>
    <row r="89" ht="22.5" customHeight="1">
      <c r="B89" s="7" t="s">
        <v>126</v>
      </c>
    </row>
    <row r="90" spans="1:18" ht="23.25" customHeight="1">
      <c r="A90" s="7" t="s">
        <v>85</v>
      </c>
      <c r="B90" s="7" t="s">
        <v>86</v>
      </c>
      <c r="F90" s="7" t="s">
        <v>34</v>
      </c>
      <c r="G90" s="7" t="s">
        <v>87</v>
      </c>
      <c r="L90" s="105">
        <f>C71</f>
        <v>54.7</v>
      </c>
      <c r="M90" s="84" t="s">
        <v>88</v>
      </c>
      <c r="O90" s="79">
        <f>R88</f>
        <v>163.8</v>
      </c>
      <c r="P90" s="83"/>
      <c r="Q90" s="7" t="s">
        <v>89</v>
      </c>
      <c r="R90" s="7" t="s">
        <v>90</v>
      </c>
    </row>
    <row r="91" spans="6:15" ht="23.25" customHeight="1">
      <c r="F91" s="7" t="s">
        <v>91</v>
      </c>
      <c r="G91" s="79">
        <f>O90</f>
        <v>163.8</v>
      </c>
      <c r="H91" s="78"/>
      <c r="I91" s="106" t="s">
        <v>76</v>
      </c>
      <c r="J91" s="107">
        <f>ROUND(L90/100,2)</f>
        <v>0.55</v>
      </c>
      <c r="K91" s="107"/>
      <c r="L91" s="7" t="s">
        <v>26</v>
      </c>
      <c r="M91" s="79">
        <f>ROUND(G91/J91,0)</f>
        <v>298</v>
      </c>
      <c r="N91" s="79"/>
      <c r="O91" s="7" t="s">
        <v>89</v>
      </c>
    </row>
    <row r="92" spans="1:15" ht="23.25" customHeight="1">
      <c r="A92" s="7" t="s">
        <v>85</v>
      </c>
      <c r="B92" s="7" t="s">
        <v>92</v>
      </c>
      <c r="F92" s="7" t="s">
        <v>91</v>
      </c>
      <c r="G92" s="79">
        <f>M91</f>
        <v>298</v>
      </c>
      <c r="H92" s="78"/>
      <c r="I92" s="106" t="s">
        <v>76</v>
      </c>
      <c r="J92" s="78">
        <f>J56</f>
        <v>3.05</v>
      </c>
      <c r="K92" s="78"/>
      <c r="L92" s="7" t="s">
        <v>26</v>
      </c>
      <c r="M92" s="79">
        <f>ROUND(G92/J92,0)</f>
        <v>98</v>
      </c>
      <c r="N92" s="79"/>
      <c r="O92" s="7" t="s">
        <v>93</v>
      </c>
    </row>
    <row r="93" spans="1:15" ht="23.25" customHeight="1">
      <c r="A93" s="7" t="s">
        <v>85</v>
      </c>
      <c r="B93" s="7" t="s">
        <v>94</v>
      </c>
      <c r="M93" s="78">
        <f>M57</f>
        <v>30</v>
      </c>
      <c r="N93" s="78"/>
      <c r="O93" s="7" t="s">
        <v>93</v>
      </c>
    </row>
    <row r="94" spans="1:20" ht="27" customHeight="1">
      <c r="A94" s="7" t="s">
        <v>85</v>
      </c>
      <c r="B94" s="7" t="s">
        <v>95</v>
      </c>
      <c r="F94" s="84" t="s">
        <v>96</v>
      </c>
      <c r="G94" s="7" t="s">
        <v>48</v>
      </c>
      <c r="H94" s="108">
        <f>M92/1000</f>
        <v>0.098</v>
      </c>
      <c r="I94" s="108"/>
      <c r="J94" s="108" t="s">
        <v>44</v>
      </c>
      <c r="K94" s="108">
        <f>O90/1000</f>
        <v>0.1638</v>
      </c>
      <c r="L94" s="108"/>
      <c r="M94" s="78" t="s">
        <v>44</v>
      </c>
      <c r="N94" s="78">
        <f>M93/1000</f>
        <v>0.03</v>
      </c>
      <c r="O94" s="78"/>
      <c r="P94" s="7" t="s">
        <v>3</v>
      </c>
      <c r="Q94" s="7" t="s">
        <v>26</v>
      </c>
      <c r="R94" s="108">
        <f>1-(H94+K94+N94)</f>
        <v>0.7081999999999999</v>
      </c>
      <c r="S94" s="107"/>
      <c r="T94" s="84" t="s">
        <v>97</v>
      </c>
    </row>
    <row r="95" spans="1:14" ht="27" customHeight="1">
      <c r="A95" s="7" t="s">
        <v>85</v>
      </c>
      <c r="B95" s="7" t="s">
        <v>98</v>
      </c>
      <c r="F95" s="108">
        <f>R94</f>
        <v>0.7081999999999999</v>
      </c>
      <c r="G95" s="78"/>
      <c r="H95" s="82" t="s">
        <v>28</v>
      </c>
      <c r="I95" s="108">
        <f>ROUND(R81/100,3)</f>
        <v>0.457</v>
      </c>
      <c r="J95" s="78"/>
      <c r="K95" s="78" t="s">
        <v>26</v>
      </c>
      <c r="L95" s="108">
        <f>ROUND(F95*I95,3)</f>
        <v>0.324</v>
      </c>
      <c r="M95" s="108"/>
      <c r="N95" s="84" t="s">
        <v>97</v>
      </c>
    </row>
    <row r="96" spans="1:14" ht="27" customHeight="1">
      <c r="A96" s="7" t="s">
        <v>85</v>
      </c>
      <c r="B96" s="7" t="s">
        <v>99</v>
      </c>
      <c r="F96" s="108">
        <f>R94</f>
        <v>0.7081999999999999</v>
      </c>
      <c r="G96" s="78"/>
      <c r="H96" s="78" t="s">
        <v>75</v>
      </c>
      <c r="I96" s="108">
        <f>L95</f>
        <v>0.324</v>
      </c>
      <c r="J96" s="78"/>
      <c r="K96" s="78" t="s">
        <v>26</v>
      </c>
      <c r="L96" s="108">
        <f>ROUND(F96-I96,3)</f>
        <v>0.384</v>
      </c>
      <c r="M96" s="78"/>
      <c r="N96" s="84" t="s">
        <v>97</v>
      </c>
    </row>
    <row r="97" spans="1:17" ht="27" customHeight="1">
      <c r="A97" s="7" t="s">
        <v>85</v>
      </c>
      <c r="B97" s="7" t="s">
        <v>100</v>
      </c>
      <c r="F97" s="108">
        <f>L95</f>
        <v>0.324</v>
      </c>
      <c r="G97" s="78"/>
      <c r="H97" s="82" t="s">
        <v>28</v>
      </c>
      <c r="I97" s="78">
        <f>I61</f>
        <v>2.58</v>
      </c>
      <c r="J97" s="78"/>
      <c r="K97" s="82" t="s">
        <v>28</v>
      </c>
      <c r="L97" s="78">
        <v>1000</v>
      </c>
      <c r="M97" s="78"/>
      <c r="N97" s="78" t="s">
        <v>26</v>
      </c>
      <c r="O97" s="79">
        <f>ROUND(F97*I97*L97,0)</f>
        <v>836</v>
      </c>
      <c r="P97" s="79"/>
      <c r="Q97" s="7" t="s">
        <v>89</v>
      </c>
    </row>
    <row r="98" spans="1:17" ht="27" customHeight="1">
      <c r="A98" s="7" t="s">
        <v>85</v>
      </c>
      <c r="B98" s="7" t="s">
        <v>101</v>
      </c>
      <c r="F98" s="108">
        <f>L96</f>
        <v>0.384</v>
      </c>
      <c r="G98" s="78"/>
      <c r="H98" s="82" t="s">
        <v>28</v>
      </c>
      <c r="I98" s="107">
        <f>I62</f>
        <v>2.7</v>
      </c>
      <c r="J98" s="78"/>
      <c r="K98" s="82" t="s">
        <v>28</v>
      </c>
      <c r="L98" s="78">
        <v>1000</v>
      </c>
      <c r="M98" s="78"/>
      <c r="N98" s="78" t="s">
        <v>26</v>
      </c>
      <c r="O98" s="79">
        <f>ROUND(F98*I98*L98,0)</f>
        <v>1037</v>
      </c>
      <c r="P98" s="79"/>
      <c r="Q98" s="7" t="s">
        <v>89</v>
      </c>
    </row>
    <row r="99" spans="1:14" ht="27" customHeight="1">
      <c r="A99" s="7" t="s">
        <v>85</v>
      </c>
      <c r="B99" s="7" t="s">
        <v>102</v>
      </c>
      <c r="F99" s="79">
        <f>M91</f>
        <v>298</v>
      </c>
      <c r="G99" s="78"/>
      <c r="H99" s="82" t="s">
        <v>28</v>
      </c>
      <c r="I99" s="78">
        <f>I63</f>
        <v>0.003</v>
      </c>
      <c r="J99" s="78"/>
      <c r="K99" s="78" t="s">
        <v>26</v>
      </c>
      <c r="L99" s="107">
        <f>F99*I99</f>
        <v>0.894</v>
      </c>
      <c r="M99" s="107"/>
      <c r="N99" s="7" t="s">
        <v>89</v>
      </c>
    </row>
    <row r="100" ht="43.5" customHeight="1"/>
    <row r="101" ht="24.75" customHeight="1">
      <c r="A101" s="84" t="s">
        <v>127</v>
      </c>
    </row>
    <row r="102" ht="22.5" customHeight="1">
      <c r="A102" s="84" t="s">
        <v>105</v>
      </c>
    </row>
    <row r="103" spans="1:20" ht="21" customHeight="1">
      <c r="A103" s="31" t="s">
        <v>106</v>
      </c>
      <c r="B103" s="109"/>
      <c r="C103" s="32" t="s">
        <v>47</v>
      </c>
      <c r="D103" s="109"/>
      <c r="E103" s="32" t="s">
        <v>107</v>
      </c>
      <c r="F103" s="109"/>
      <c r="G103" s="32" t="s">
        <v>66</v>
      </c>
      <c r="H103" s="109"/>
      <c r="I103" s="86" t="s">
        <v>108</v>
      </c>
      <c r="J103" s="86"/>
      <c r="K103" s="86"/>
      <c r="L103" s="86"/>
      <c r="M103" s="86"/>
      <c r="N103" s="86"/>
      <c r="O103" s="86"/>
      <c r="P103" s="86"/>
      <c r="Q103" s="86"/>
      <c r="R103" s="87"/>
      <c r="S103" s="32" t="s">
        <v>69</v>
      </c>
      <c r="T103" s="109"/>
    </row>
    <row r="104" spans="1:20" ht="21" customHeight="1">
      <c r="A104" s="71"/>
      <c r="B104" s="88"/>
      <c r="C104" s="72" t="s">
        <v>109</v>
      </c>
      <c r="D104" s="88"/>
      <c r="E104" s="89"/>
      <c r="F104" s="88"/>
      <c r="G104" s="72" t="s">
        <v>110</v>
      </c>
      <c r="H104" s="88"/>
      <c r="I104" s="72" t="s">
        <v>111</v>
      </c>
      <c r="J104" s="88"/>
      <c r="K104" s="72" t="s">
        <v>67</v>
      </c>
      <c r="L104" s="88"/>
      <c r="M104" s="72" t="s">
        <v>112</v>
      </c>
      <c r="N104" s="88"/>
      <c r="O104" s="72" t="s">
        <v>113</v>
      </c>
      <c r="P104" s="88"/>
      <c r="Q104" s="72" t="s">
        <v>114</v>
      </c>
      <c r="R104" s="88"/>
      <c r="S104" s="89"/>
      <c r="T104" s="88"/>
    </row>
    <row r="105" spans="1:20" ht="21" customHeight="1">
      <c r="A105" s="71">
        <v>1</v>
      </c>
      <c r="B105" s="110" t="s">
        <v>97</v>
      </c>
      <c r="C105" s="111"/>
      <c r="D105" s="112"/>
      <c r="E105" s="51"/>
      <c r="F105" s="112"/>
      <c r="G105" s="51"/>
      <c r="H105" s="112"/>
      <c r="I105" s="94">
        <f>M91</f>
        <v>298</v>
      </c>
      <c r="J105" s="88"/>
      <c r="K105" s="94">
        <f>O90</f>
        <v>163.8</v>
      </c>
      <c r="L105" s="88"/>
      <c r="M105" s="94">
        <f>O97</f>
        <v>836</v>
      </c>
      <c r="N105" s="88"/>
      <c r="O105" s="94">
        <f>O98</f>
        <v>1037</v>
      </c>
      <c r="P105" s="88"/>
      <c r="Q105" s="92">
        <f>L99</f>
        <v>0.894</v>
      </c>
      <c r="R105" s="88"/>
      <c r="S105" s="111"/>
      <c r="T105" s="112"/>
    </row>
    <row r="106" spans="1:20" ht="21" customHeight="1">
      <c r="A106" s="71" t="s">
        <v>115</v>
      </c>
      <c r="B106" s="88"/>
      <c r="C106" s="94">
        <f>L90</f>
        <v>54.7</v>
      </c>
      <c r="D106" s="88"/>
      <c r="E106" s="72">
        <f>E71</f>
        <v>8</v>
      </c>
      <c r="F106" s="88"/>
      <c r="G106" s="94">
        <f>R81</f>
        <v>45.7</v>
      </c>
      <c r="H106" s="88"/>
      <c r="I106" s="113">
        <f>I105*0.04</f>
        <v>11.92</v>
      </c>
      <c r="J106" s="114"/>
      <c r="K106" s="113">
        <f>K105*0.04</f>
        <v>6.5520000000000005</v>
      </c>
      <c r="L106" s="114"/>
      <c r="M106" s="113">
        <f>M105*0.04</f>
        <v>33.44</v>
      </c>
      <c r="N106" s="114"/>
      <c r="O106" s="113">
        <f>O105*0.04</f>
        <v>41.480000000000004</v>
      </c>
      <c r="P106" s="114"/>
      <c r="Q106" s="113">
        <f>Q105*0.04</f>
        <v>0.03576</v>
      </c>
      <c r="R106" s="114"/>
      <c r="S106" s="89"/>
      <c r="T106" s="88"/>
    </row>
    <row r="107" ht="23.25" customHeight="1">
      <c r="A107" s="84" t="s">
        <v>116</v>
      </c>
    </row>
    <row r="108" spans="1:20" ht="16.5" customHeight="1">
      <c r="A108" s="85" t="s">
        <v>117</v>
      </c>
      <c r="B108" s="86"/>
      <c r="C108" s="86"/>
      <c r="D108" s="86"/>
      <c r="E108" s="87"/>
      <c r="F108" s="86" t="s">
        <v>118</v>
      </c>
      <c r="G108" s="86"/>
      <c r="H108" s="86"/>
      <c r="I108" s="86"/>
      <c r="J108" s="87"/>
      <c r="K108" s="86" t="s">
        <v>119</v>
      </c>
      <c r="L108" s="86"/>
      <c r="M108" s="86"/>
      <c r="N108" s="86"/>
      <c r="O108" s="87"/>
      <c r="P108" s="86" t="s">
        <v>120</v>
      </c>
      <c r="Q108" s="86"/>
      <c r="R108" s="86"/>
      <c r="S108" s="86"/>
      <c r="T108" s="87"/>
    </row>
    <row r="109" spans="1:20" ht="16.5" customHeight="1">
      <c r="A109" s="71">
        <v>6.2</v>
      </c>
      <c r="B109" s="72"/>
      <c r="C109" s="72"/>
      <c r="D109" s="72"/>
      <c r="E109" s="88"/>
      <c r="F109" s="72">
        <v>3.5</v>
      </c>
      <c r="G109" s="72"/>
      <c r="H109" s="72"/>
      <c r="I109" s="72"/>
      <c r="J109" s="88"/>
      <c r="K109" s="72" t="s">
        <v>121</v>
      </c>
      <c r="L109" s="72"/>
      <c r="M109" s="72"/>
      <c r="N109" s="72"/>
      <c r="O109" s="88"/>
      <c r="P109" s="89"/>
      <c r="Q109" s="72"/>
      <c r="R109" s="72"/>
      <c r="S109" s="72"/>
      <c r="T109" s="88"/>
    </row>
    <row r="110" ht="23.25" customHeight="1">
      <c r="A110" s="84" t="s">
        <v>128</v>
      </c>
    </row>
    <row r="111" ht="16.5" customHeight="1">
      <c r="B111" s="7" t="s">
        <v>122</v>
      </c>
    </row>
    <row r="112" spans="1:20" ht="16.5" customHeight="1">
      <c r="A112" s="85" t="s">
        <v>71</v>
      </c>
      <c r="B112" s="86"/>
      <c r="C112" s="86"/>
      <c r="D112" s="86"/>
      <c r="E112" s="87"/>
      <c r="F112" s="86" t="s">
        <v>72</v>
      </c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7"/>
      <c r="R112" s="86" t="s">
        <v>73</v>
      </c>
      <c r="S112" s="86"/>
      <c r="T112" s="87"/>
    </row>
    <row r="113" spans="1:20" ht="16.5" customHeight="1">
      <c r="A113" s="71" t="s">
        <v>129</v>
      </c>
      <c r="B113" s="72"/>
      <c r="C113" s="72"/>
      <c r="D113" s="86"/>
      <c r="E113" s="88"/>
      <c r="F113" s="89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88"/>
      <c r="R113" s="90">
        <f>R81</f>
        <v>45.7</v>
      </c>
      <c r="S113" s="72"/>
      <c r="T113" s="88"/>
    </row>
    <row r="114" spans="1:20" ht="16.5" customHeight="1">
      <c r="A114" s="71" t="s">
        <v>83</v>
      </c>
      <c r="B114" s="72"/>
      <c r="C114" s="72"/>
      <c r="D114" s="86"/>
      <c r="E114" s="88"/>
      <c r="F114" s="72" t="s">
        <v>124</v>
      </c>
      <c r="G114" s="92"/>
      <c r="H114" s="72"/>
      <c r="I114" s="72"/>
      <c r="J114" s="72"/>
      <c r="K114" s="72"/>
      <c r="L114" s="72"/>
      <c r="M114" s="72"/>
      <c r="N114" s="72"/>
      <c r="O114" s="72"/>
      <c r="P114" s="72"/>
      <c r="Q114" s="88"/>
      <c r="R114" s="92">
        <v>0</v>
      </c>
      <c r="S114" s="94"/>
      <c r="T114" s="95"/>
    </row>
    <row r="115" spans="1:20" ht="16.5" customHeight="1">
      <c r="A115" s="71" t="s">
        <v>78</v>
      </c>
      <c r="B115" s="72"/>
      <c r="C115" s="72"/>
      <c r="D115" s="86"/>
      <c r="E115" s="96"/>
      <c r="F115" s="72" t="s">
        <v>48</v>
      </c>
      <c r="G115" s="72">
        <f>G86</f>
        <v>4.5</v>
      </c>
      <c r="H115" s="72"/>
      <c r="I115" s="72" t="s">
        <v>75</v>
      </c>
      <c r="J115" s="72">
        <f>F109</f>
        <v>3.5</v>
      </c>
      <c r="K115" s="72"/>
      <c r="L115" s="72" t="s">
        <v>3</v>
      </c>
      <c r="M115" s="91" t="s">
        <v>28</v>
      </c>
      <c r="N115" s="72">
        <v>0.75</v>
      </c>
      <c r="O115" s="72"/>
      <c r="P115" s="72"/>
      <c r="Q115" s="77"/>
      <c r="R115" s="92">
        <f>ROUND((G115-J115)*N115,2)</f>
        <v>0.75</v>
      </c>
      <c r="S115" s="94"/>
      <c r="T115" s="95"/>
    </row>
    <row r="116" spans="1:20" ht="16.5" customHeight="1">
      <c r="A116" s="71" t="s">
        <v>81</v>
      </c>
      <c r="B116" s="72"/>
      <c r="C116" s="72"/>
      <c r="D116" s="86"/>
      <c r="E116" s="88"/>
      <c r="F116" s="116"/>
      <c r="G116" s="90">
        <f>R113</f>
        <v>45.7</v>
      </c>
      <c r="H116" s="72"/>
      <c r="I116" s="72" t="s">
        <v>44</v>
      </c>
      <c r="J116" s="92">
        <f>R114</f>
        <v>0</v>
      </c>
      <c r="K116" s="72"/>
      <c r="L116" s="72" t="s">
        <v>44</v>
      </c>
      <c r="M116" s="72"/>
      <c r="N116" s="92">
        <f>R115</f>
        <v>0.75</v>
      </c>
      <c r="O116" s="92"/>
      <c r="P116" s="117"/>
      <c r="Q116" s="77"/>
      <c r="R116" s="92">
        <f>ROUND(G116+J116+N116,2)</f>
        <v>46.45</v>
      </c>
      <c r="S116" s="94"/>
      <c r="T116" s="95"/>
    </row>
    <row r="117" ht="20.25" customHeight="1">
      <c r="B117" s="7" t="s">
        <v>125</v>
      </c>
    </row>
    <row r="118" spans="1:20" ht="16.5" customHeight="1">
      <c r="A118" s="85" t="s">
        <v>71</v>
      </c>
      <c r="B118" s="86"/>
      <c r="C118" s="86"/>
      <c r="D118" s="86"/>
      <c r="E118" s="87"/>
      <c r="F118" s="86" t="s">
        <v>72</v>
      </c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7"/>
      <c r="R118" s="86" t="s">
        <v>73</v>
      </c>
      <c r="S118" s="86"/>
      <c r="T118" s="87"/>
    </row>
    <row r="119" spans="1:20" ht="16.5" customHeight="1">
      <c r="A119" s="71" t="s">
        <v>129</v>
      </c>
      <c r="B119" s="72"/>
      <c r="C119" s="72"/>
      <c r="D119" s="86"/>
      <c r="E119" s="88"/>
      <c r="F119" s="89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88"/>
      <c r="R119" s="90">
        <f>R88</f>
        <v>163.8</v>
      </c>
      <c r="S119" s="72"/>
      <c r="T119" s="88"/>
    </row>
    <row r="120" spans="1:20" ht="16.5" customHeight="1">
      <c r="A120" s="71" t="s">
        <v>83</v>
      </c>
      <c r="B120" s="72"/>
      <c r="C120" s="72"/>
      <c r="D120" s="86"/>
      <c r="E120" s="88"/>
      <c r="F120" s="72" t="s">
        <v>48</v>
      </c>
      <c r="G120" s="94">
        <f>E106</f>
        <v>8</v>
      </c>
      <c r="H120" s="72" t="s">
        <v>75</v>
      </c>
      <c r="I120" s="90">
        <f>A109</f>
        <v>6.2</v>
      </c>
      <c r="J120" s="72" t="s">
        <v>3</v>
      </c>
      <c r="K120" s="91" t="s">
        <v>28</v>
      </c>
      <c r="L120" s="72">
        <v>-0.012</v>
      </c>
      <c r="M120" s="72"/>
      <c r="N120" s="91" t="s">
        <v>28</v>
      </c>
      <c r="O120" s="94">
        <f>R119</f>
        <v>163.8</v>
      </c>
      <c r="P120" s="72"/>
      <c r="Q120" s="100"/>
      <c r="R120" s="92">
        <f>ROUND((G120-I120)*L120*O120,2)</f>
        <v>-3.54</v>
      </c>
      <c r="S120" s="94"/>
      <c r="T120" s="95"/>
    </row>
    <row r="121" spans="1:20" ht="16.5" customHeight="1">
      <c r="A121" s="71" t="s">
        <v>78</v>
      </c>
      <c r="B121" s="72"/>
      <c r="C121" s="72"/>
      <c r="D121" s="86"/>
      <c r="E121" s="96"/>
      <c r="F121" s="72" t="s">
        <v>48</v>
      </c>
      <c r="G121" s="72">
        <f>G86</f>
        <v>4.5</v>
      </c>
      <c r="H121" s="72" t="s">
        <v>75</v>
      </c>
      <c r="I121" s="72">
        <f>F109</f>
        <v>3.5</v>
      </c>
      <c r="J121" s="72" t="s">
        <v>3</v>
      </c>
      <c r="K121" s="91" t="s">
        <v>28</v>
      </c>
      <c r="L121" s="72">
        <v>0.03</v>
      </c>
      <c r="M121" s="72"/>
      <c r="N121" s="91" t="s">
        <v>28</v>
      </c>
      <c r="O121" s="94">
        <f>R119</f>
        <v>163.8</v>
      </c>
      <c r="P121" s="72"/>
      <c r="Q121" s="77"/>
      <c r="R121" s="92">
        <f>ROUND((G121-I121)*L121*O121,2)</f>
        <v>4.91</v>
      </c>
      <c r="S121" s="94"/>
      <c r="T121" s="95"/>
    </row>
    <row r="122" spans="1:20" ht="16.5" customHeight="1">
      <c r="A122" s="71" t="s">
        <v>66</v>
      </c>
      <c r="B122" s="72"/>
      <c r="C122" s="72"/>
      <c r="D122" s="86"/>
      <c r="E122" s="96"/>
      <c r="F122" s="72" t="s">
        <v>48</v>
      </c>
      <c r="G122" s="90">
        <f>R116</f>
        <v>46.45</v>
      </c>
      <c r="H122" s="72"/>
      <c r="I122" s="72" t="s">
        <v>75</v>
      </c>
      <c r="J122" s="90">
        <f>G116</f>
        <v>45.7</v>
      </c>
      <c r="K122" s="72"/>
      <c r="L122" s="72" t="s">
        <v>3</v>
      </c>
      <c r="M122" s="72"/>
      <c r="N122" s="91" t="s">
        <v>28</v>
      </c>
      <c r="O122" s="72">
        <v>1.5</v>
      </c>
      <c r="P122" s="72"/>
      <c r="Q122" s="77"/>
      <c r="R122" s="92">
        <f>ROUND((G122-J122)*O122,2)</f>
        <v>1.13</v>
      </c>
      <c r="S122" s="94"/>
      <c r="T122" s="95"/>
    </row>
    <row r="123" spans="1:20" ht="16.5" customHeight="1">
      <c r="A123" s="71" t="s">
        <v>67</v>
      </c>
      <c r="B123" s="72"/>
      <c r="C123" s="72"/>
      <c r="D123" s="86"/>
      <c r="E123" s="88"/>
      <c r="F123" s="116"/>
      <c r="G123" s="90">
        <f>R119</f>
        <v>163.8</v>
      </c>
      <c r="H123" s="72"/>
      <c r="I123" s="72" t="s">
        <v>44</v>
      </c>
      <c r="J123" s="92">
        <f>R120</f>
        <v>-3.54</v>
      </c>
      <c r="K123" s="72"/>
      <c r="L123" s="72" t="s">
        <v>44</v>
      </c>
      <c r="M123" s="92">
        <f>R121</f>
        <v>4.91</v>
      </c>
      <c r="N123" s="72"/>
      <c r="O123" s="92" t="s">
        <v>44</v>
      </c>
      <c r="P123" s="92">
        <f>R122</f>
        <v>1.13</v>
      </c>
      <c r="Q123" s="118"/>
      <c r="R123" s="90">
        <f>ROUND(G123+J123+M123+P123,5)</f>
        <v>166.3</v>
      </c>
      <c r="S123" s="94"/>
      <c r="T123" s="95"/>
    </row>
    <row r="124" ht="23.25" customHeight="1">
      <c r="B124" s="84" t="s">
        <v>130</v>
      </c>
    </row>
    <row r="125" spans="1:18" ht="23.25" customHeight="1">
      <c r="A125" s="7" t="s">
        <v>85</v>
      </c>
      <c r="B125" s="7" t="s">
        <v>86</v>
      </c>
      <c r="F125" s="7" t="s">
        <v>34</v>
      </c>
      <c r="G125" s="7" t="s">
        <v>87</v>
      </c>
      <c r="L125" s="105">
        <f>C106</f>
        <v>54.7</v>
      </c>
      <c r="M125" s="84" t="s">
        <v>88</v>
      </c>
      <c r="O125" s="79">
        <f>R123</f>
        <v>166.3</v>
      </c>
      <c r="P125" s="83"/>
      <c r="Q125" s="7" t="s">
        <v>89</v>
      </c>
      <c r="R125" s="7" t="s">
        <v>90</v>
      </c>
    </row>
    <row r="126" spans="6:15" ht="23.25" customHeight="1">
      <c r="F126" s="7" t="s">
        <v>91</v>
      </c>
      <c r="G126" s="79">
        <f>O125</f>
        <v>166.3</v>
      </c>
      <c r="H126" s="78"/>
      <c r="I126" s="106" t="s">
        <v>76</v>
      </c>
      <c r="J126" s="107">
        <f>ROUND(L125/100,2)</f>
        <v>0.55</v>
      </c>
      <c r="K126" s="107"/>
      <c r="L126" s="7" t="s">
        <v>26</v>
      </c>
      <c r="M126" s="79">
        <f>ROUND(G126/J126,0)</f>
        <v>302</v>
      </c>
      <c r="N126" s="79"/>
      <c r="O126" s="7" t="s">
        <v>89</v>
      </c>
    </row>
    <row r="127" spans="1:15" ht="23.25" customHeight="1">
      <c r="A127" s="7" t="s">
        <v>85</v>
      </c>
      <c r="B127" s="7" t="s">
        <v>92</v>
      </c>
      <c r="F127" s="7" t="s">
        <v>91</v>
      </c>
      <c r="G127" s="79">
        <f>M126</f>
        <v>302</v>
      </c>
      <c r="H127" s="78"/>
      <c r="I127" s="106" t="s">
        <v>76</v>
      </c>
      <c r="J127" s="78">
        <f>J92</f>
        <v>3.05</v>
      </c>
      <c r="K127" s="78"/>
      <c r="L127" s="7" t="s">
        <v>26</v>
      </c>
      <c r="M127" s="79">
        <f>ROUND(G127/J127,0)</f>
        <v>99</v>
      </c>
      <c r="N127" s="79"/>
      <c r="O127" s="7" t="s">
        <v>93</v>
      </c>
    </row>
    <row r="128" spans="1:15" ht="23.25" customHeight="1">
      <c r="A128" s="7" t="s">
        <v>85</v>
      </c>
      <c r="B128" s="7" t="s">
        <v>94</v>
      </c>
      <c r="M128" s="78">
        <f>M93</f>
        <v>30</v>
      </c>
      <c r="N128" s="78"/>
      <c r="O128" s="7" t="s">
        <v>93</v>
      </c>
    </row>
    <row r="129" spans="1:20" ht="24.75" customHeight="1">
      <c r="A129" s="7" t="s">
        <v>85</v>
      </c>
      <c r="B129" s="7" t="s">
        <v>95</v>
      </c>
      <c r="F129" s="84" t="s">
        <v>96</v>
      </c>
      <c r="G129" s="7" t="s">
        <v>48</v>
      </c>
      <c r="H129" s="108">
        <f>M127/1000</f>
        <v>0.099</v>
      </c>
      <c r="I129" s="108"/>
      <c r="J129" s="108" t="s">
        <v>44</v>
      </c>
      <c r="K129" s="108">
        <f>O125/1000</f>
        <v>0.1663</v>
      </c>
      <c r="L129" s="108"/>
      <c r="M129" s="78" t="s">
        <v>44</v>
      </c>
      <c r="N129" s="78">
        <f>M128/1000</f>
        <v>0.03</v>
      </c>
      <c r="O129" s="78"/>
      <c r="P129" s="7" t="s">
        <v>3</v>
      </c>
      <c r="Q129" s="7" t="s">
        <v>26</v>
      </c>
      <c r="R129" s="108">
        <f>1-(H129+K129+N129)</f>
        <v>0.7047</v>
      </c>
      <c r="S129" s="107"/>
      <c r="T129" s="84" t="s">
        <v>97</v>
      </c>
    </row>
    <row r="130" spans="1:14" ht="22.5" customHeight="1">
      <c r="A130" s="7" t="s">
        <v>85</v>
      </c>
      <c r="B130" s="7" t="s">
        <v>98</v>
      </c>
      <c r="F130" s="108">
        <f>R129</f>
        <v>0.7047</v>
      </c>
      <c r="G130" s="78"/>
      <c r="H130" s="82" t="s">
        <v>28</v>
      </c>
      <c r="I130" s="108">
        <f>ROUND(R116/100,3)</f>
        <v>0.465</v>
      </c>
      <c r="J130" s="78"/>
      <c r="K130" s="78" t="s">
        <v>26</v>
      </c>
      <c r="L130" s="108">
        <f>ROUND(F130*I130,3)</f>
        <v>0.328</v>
      </c>
      <c r="M130" s="108"/>
      <c r="N130" s="84" t="s">
        <v>97</v>
      </c>
    </row>
    <row r="131" spans="1:14" ht="26.25" customHeight="1">
      <c r="A131" s="7" t="s">
        <v>85</v>
      </c>
      <c r="B131" s="7" t="s">
        <v>99</v>
      </c>
      <c r="F131" s="108">
        <f>R129</f>
        <v>0.7047</v>
      </c>
      <c r="G131" s="78"/>
      <c r="H131" s="78" t="s">
        <v>75</v>
      </c>
      <c r="I131" s="108">
        <f>L130</f>
        <v>0.328</v>
      </c>
      <c r="J131" s="78"/>
      <c r="K131" s="78" t="s">
        <v>26</v>
      </c>
      <c r="L131" s="108">
        <f>ROUND(F131-I131,3)</f>
        <v>0.377</v>
      </c>
      <c r="M131" s="78"/>
      <c r="N131" s="84" t="s">
        <v>97</v>
      </c>
    </row>
    <row r="132" spans="1:17" ht="27" customHeight="1">
      <c r="A132" s="7" t="s">
        <v>85</v>
      </c>
      <c r="B132" s="7" t="s">
        <v>100</v>
      </c>
      <c r="F132" s="108">
        <f>L130</f>
        <v>0.328</v>
      </c>
      <c r="G132" s="78"/>
      <c r="H132" s="82" t="s">
        <v>28</v>
      </c>
      <c r="I132" s="78">
        <f>I97</f>
        <v>2.58</v>
      </c>
      <c r="J132" s="78"/>
      <c r="K132" s="82" t="s">
        <v>28</v>
      </c>
      <c r="L132" s="78">
        <v>1000</v>
      </c>
      <c r="M132" s="78"/>
      <c r="N132" s="78" t="s">
        <v>26</v>
      </c>
      <c r="O132" s="79">
        <f>ROUND(F132*I132*L132,0)</f>
        <v>846</v>
      </c>
      <c r="P132" s="79"/>
      <c r="Q132" s="7" t="s">
        <v>89</v>
      </c>
    </row>
    <row r="133" spans="1:17" ht="23.25" customHeight="1">
      <c r="A133" s="7" t="s">
        <v>85</v>
      </c>
      <c r="B133" s="7" t="s">
        <v>101</v>
      </c>
      <c r="F133" s="108">
        <f>L131</f>
        <v>0.377</v>
      </c>
      <c r="G133" s="78"/>
      <c r="H133" s="82" t="s">
        <v>28</v>
      </c>
      <c r="I133" s="107">
        <f>I98</f>
        <v>2.7</v>
      </c>
      <c r="J133" s="78"/>
      <c r="K133" s="82" t="s">
        <v>28</v>
      </c>
      <c r="L133" s="78">
        <v>1000</v>
      </c>
      <c r="M133" s="78"/>
      <c r="N133" s="78" t="s">
        <v>26</v>
      </c>
      <c r="O133" s="79">
        <f>ROUND(F133*I133*L133,0)</f>
        <v>1018</v>
      </c>
      <c r="P133" s="79"/>
      <c r="Q133" s="7" t="s">
        <v>89</v>
      </c>
    </row>
    <row r="134" spans="1:14" ht="23.25" customHeight="1">
      <c r="A134" s="7" t="s">
        <v>85</v>
      </c>
      <c r="B134" s="7" t="s">
        <v>102</v>
      </c>
      <c r="F134" s="79">
        <f>M126</f>
        <v>302</v>
      </c>
      <c r="G134" s="78"/>
      <c r="H134" s="82" t="s">
        <v>28</v>
      </c>
      <c r="I134" s="78">
        <f>I99</f>
        <v>0.003</v>
      </c>
      <c r="J134" s="78"/>
      <c r="K134" s="78" t="s">
        <v>26</v>
      </c>
      <c r="L134" s="107">
        <f>F134*I134</f>
        <v>0.906</v>
      </c>
      <c r="M134" s="107"/>
      <c r="N134" s="7" t="s">
        <v>89</v>
      </c>
    </row>
    <row r="135" ht="16.5" customHeight="1">
      <c r="A135" s="84" t="s">
        <v>131</v>
      </c>
    </row>
    <row r="136" ht="14.25" customHeight="1">
      <c r="A136" s="84" t="s">
        <v>105</v>
      </c>
    </row>
    <row r="137" spans="1:20" ht="13.5" customHeight="1">
      <c r="A137" s="31" t="s">
        <v>106</v>
      </c>
      <c r="B137" s="109"/>
      <c r="C137" s="32" t="s">
        <v>47</v>
      </c>
      <c r="D137" s="109"/>
      <c r="E137" s="32" t="s">
        <v>107</v>
      </c>
      <c r="F137" s="109"/>
      <c r="G137" s="32" t="s">
        <v>66</v>
      </c>
      <c r="H137" s="109"/>
      <c r="I137" s="86" t="s">
        <v>108</v>
      </c>
      <c r="J137" s="86"/>
      <c r="K137" s="86"/>
      <c r="L137" s="86"/>
      <c r="M137" s="86"/>
      <c r="N137" s="86"/>
      <c r="O137" s="86"/>
      <c r="P137" s="86"/>
      <c r="Q137" s="86"/>
      <c r="R137" s="87"/>
      <c r="S137" s="32" t="s">
        <v>69</v>
      </c>
      <c r="T137" s="109"/>
    </row>
    <row r="138" spans="1:20" ht="15" customHeight="1">
      <c r="A138" s="71"/>
      <c r="B138" s="88"/>
      <c r="C138" s="72" t="s">
        <v>109</v>
      </c>
      <c r="D138" s="88"/>
      <c r="E138" s="89"/>
      <c r="F138" s="88"/>
      <c r="G138" s="72" t="s">
        <v>110</v>
      </c>
      <c r="H138" s="88"/>
      <c r="I138" s="72" t="s">
        <v>111</v>
      </c>
      <c r="J138" s="88"/>
      <c r="K138" s="72" t="s">
        <v>67</v>
      </c>
      <c r="L138" s="88"/>
      <c r="M138" s="72" t="s">
        <v>112</v>
      </c>
      <c r="N138" s="88"/>
      <c r="O138" s="72" t="s">
        <v>113</v>
      </c>
      <c r="P138" s="88"/>
      <c r="Q138" s="72" t="s">
        <v>114</v>
      </c>
      <c r="R138" s="88"/>
      <c r="S138" s="89"/>
      <c r="T138" s="88"/>
    </row>
    <row r="139" spans="1:20" ht="16.5" customHeight="1">
      <c r="A139" s="71">
        <v>1</v>
      </c>
      <c r="B139" s="110" t="s">
        <v>97</v>
      </c>
      <c r="C139" s="111"/>
      <c r="D139" s="112"/>
      <c r="E139" s="51"/>
      <c r="F139" s="112"/>
      <c r="G139" s="51"/>
      <c r="H139" s="112"/>
      <c r="I139" s="94">
        <f>M126</f>
        <v>302</v>
      </c>
      <c r="J139" s="88"/>
      <c r="K139" s="94">
        <f>O125</f>
        <v>166.3</v>
      </c>
      <c r="L139" s="88"/>
      <c r="M139" s="94">
        <f>O132</f>
        <v>846</v>
      </c>
      <c r="N139" s="88"/>
      <c r="O139" s="94">
        <f>O133</f>
        <v>1018</v>
      </c>
      <c r="P139" s="88"/>
      <c r="Q139" s="92">
        <f>L134</f>
        <v>0.906</v>
      </c>
      <c r="R139" s="88"/>
      <c r="S139" s="111"/>
      <c r="T139" s="112"/>
    </row>
    <row r="140" spans="1:20" ht="16.5" customHeight="1">
      <c r="A140" s="71" t="s">
        <v>115</v>
      </c>
      <c r="B140" s="88"/>
      <c r="C140" s="94">
        <f>L125</f>
        <v>54.7</v>
      </c>
      <c r="D140" s="88"/>
      <c r="E140" s="72">
        <f>E106</f>
        <v>8</v>
      </c>
      <c r="F140" s="88"/>
      <c r="G140" s="90">
        <f>R116</f>
        <v>46.45</v>
      </c>
      <c r="H140" s="88"/>
      <c r="I140" s="113">
        <f>I139*0.04</f>
        <v>12.08</v>
      </c>
      <c r="J140" s="114"/>
      <c r="K140" s="113">
        <f>K139*0.04</f>
        <v>6.652000000000001</v>
      </c>
      <c r="L140" s="114"/>
      <c r="M140" s="113">
        <f>M139*0.04</f>
        <v>33.84</v>
      </c>
      <c r="N140" s="114"/>
      <c r="O140" s="113">
        <f>O139*0.04</f>
        <v>40.72</v>
      </c>
      <c r="P140" s="114"/>
      <c r="Q140" s="113">
        <f>Q139*0.04</f>
        <v>0.03624</v>
      </c>
      <c r="R140" s="114"/>
      <c r="S140" s="89"/>
      <c r="T140" s="88"/>
    </row>
    <row r="141" ht="18.75" customHeight="1">
      <c r="A141" s="84" t="s">
        <v>116</v>
      </c>
    </row>
    <row r="142" spans="1:20" ht="16.5" customHeight="1">
      <c r="A142" s="85" t="s">
        <v>117</v>
      </c>
      <c r="B142" s="86"/>
      <c r="C142" s="86"/>
      <c r="D142" s="86"/>
      <c r="E142" s="87"/>
      <c r="F142" s="86" t="s">
        <v>118</v>
      </c>
      <c r="G142" s="86"/>
      <c r="H142" s="86"/>
      <c r="I142" s="86"/>
      <c r="J142" s="87"/>
      <c r="K142" s="86" t="s">
        <v>119</v>
      </c>
      <c r="L142" s="86"/>
      <c r="M142" s="86"/>
      <c r="N142" s="86"/>
      <c r="O142" s="87"/>
      <c r="P142" s="86" t="s">
        <v>120</v>
      </c>
      <c r="Q142" s="86"/>
      <c r="R142" s="86"/>
      <c r="S142" s="86"/>
      <c r="T142" s="87"/>
    </row>
    <row r="143" spans="1:20" ht="16.5" customHeight="1">
      <c r="A143" s="71">
        <v>8</v>
      </c>
      <c r="B143" s="72"/>
      <c r="C143" s="72"/>
      <c r="D143" s="72"/>
      <c r="E143" s="88"/>
      <c r="F143" s="72">
        <v>4.5</v>
      </c>
      <c r="G143" s="72"/>
      <c r="H143" s="72"/>
      <c r="I143" s="72"/>
      <c r="J143" s="88"/>
      <c r="K143" s="72" t="s">
        <v>132</v>
      </c>
      <c r="L143" s="72"/>
      <c r="M143" s="72"/>
      <c r="N143" s="72"/>
      <c r="O143" s="88"/>
      <c r="P143" s="89"/>
      <c r="Q143" s="72"/>
      <c r="R143" s="72"/>
      <c r="S143" s="72"/>
      <c r="T143" s="88"/>
    </row>
    <row r="144" ht="3" customHeight="1"/>
    <row r="145" ht="17.25" customHeight="1">
      <c r="A145" s="7" t="s">
        <v>197</v>
      </c>
    </row>
    <row r="146" ht="14.25" customHeight="1">
      <c r="B146" s="7" t="s">
        <v>133</v>
      </c>
    </row>
    <row r="147" ht="16.5" customHeight="1">
      <c r="A147" s="7" t="s">
        <v>134</v>
      </c>
    </row>
    <row r="148" spans="1:16" ht="16.5" customHeight="1">
      <c r="A148" s="7" t="s">
        <v>85</v>
      </c>
      <c r="B148" s="78" t="s">
        <v>135</v>
      </c>
      <c r="C148" s="78"/>
      <c r="D148" s="78"/>
      <c r="E148" s="79">
        <f>C140-5</f>
        <v>49.7</v>
      </c>
      <c r="F148" s="119" t="s">
        <v>11</v>
      </c>
      <c r="G148" s="78"/>
      <c r="H148" s="78" t="s">
        <v>136</v>
      </c>
      <c r="I148" s="78"/>
      <c r="J148" s="83">
        <f>G140</f>
        <v>46.45</v>
      </c>
      <c r="K148" s="78" t="s">
        <v>11</v>
      </c>
      <c r="L148" s="78"/>
      <c r="M148" s="78" t="s">
        <v>137</v>
      </c>
      <c r="N148" s="79">
        <f>K139</f>
        <v>166.3</v>
      </c>
      <c r="O148" s="78"/>
      <c r="P148" s="7" t="s">
        <v>89</v>
      </c>
    </row>
    <row r="149" spans="6:15" ht="15.75" customHeight="1">
      <c r="F149" s="7" t="s">
        <v>91</v>
      </c>
      <c r="G149" s="79">
        <f>N148</f>
        <v>166.3</v>
      </c>
      <c r="H149" s="78"/>
      <c r="I149" s="106" t="s">
        <v>76</v>
      </c>
      <c r="J149" s="107">
        <f>ROUND(E148/100,2)</f>
        <v>0.5</v>
      </c>
      <c r="K149" s="107"/>
      <c r="L149" s="7" t="s">
        <v>26</v>
      </c>
      <c r="M149" s="79">
        <f>ROUND(G149/J149,0)</f>
        <v>333</v>
      </c>
      <c r="N149" s="79"/>
      <c r="O149" s="7" t="s">
        <v>89</v>
      </c>
    </row>
    <row r="150" spans="1:15" ht="15.75" customHeight="1">
      <c r="A150" s="7" t="s">
        <v>85</v>
      </c>
      <c r="B150" s="7" t="s">
        <v>92</v>
      </c>
      <c r="F150" s="7" t="s">
        <v>91</v>
      </c>
      <c r="G150" s="79">
        <f>M149</f>
        <v>333</v>
      </c>
      <c r="H150" s="78"/>
      <c r="I150" s="106" t="s">
        <v>76</v>
      </c>
      <c r="J150" s="78">
        <f>J127</f>
        <v>3.05</v>
      </c>
      <c r="K150" s="78"/>
      <c r="L150" s="7" t="s">
        <v>26</v>
      </c>
      <c r="M150" s="79">
        <f>ROUND(G150/J150,0)</f>
        <v>109</v>
      </c>
      <c r="N150" s="79"/>
      <c r="O150" s="7" t="s">
        <v>93</v>
      </c>
    </row>
    <row r="151" spans="1:15" ht="15.75" customHeight="1">
      <c r="A151" s="7" t="s">
        <v>85</v>
      </c>
      <c r="B151" s="7" t="s">
        <v>94</v>
      </c>
      <c r="M151" s="78">
        <f>M128</f>
        <v>30</v>
      </c>
      <c r="N151" s="78"/>
      <c r="O151" s="7" t="s">
        <v>93</v>
      </c>
    </row>
    <row r="152" spans="1:20" ht="15.75" customHeight="1">
      <c r="A152" s="7" t="s">
        <v>85</v>
      </c>
      <c r="B152" s="7" t="s">
        <v>95</v>
      </c>
      <c r="F152" s="84" t="s">
        <v>96</v>
      </c>
      <c r="G152" s="7" t="s">
        <v>48</v>
      </c>
      <c r="H152" s="108">
        <f>M150/1000</f>
        <v>0.109</v>
      </c>
      <c r="I152" s="108"/>
      <c r="J152" s="108" t="s">
        <v>44</v>
      </c>
      <c r="K152" s="108">
        <f>N148/1000</f>
        <v>0.1663</v>
      </c>
      <c r="L152" s="108"/>
      <c r="M152" s="78" t="s">
        <v>44</v>
      </c>
      <c r="N152" s="78">
        <f>M151/1000</f>
        <v>0.03</v>
      </c>
      <c r="O152" s="78"/>
      <c r="P152" s="7" t="s">
        <v>3</v>
      </c>
      <c r="Q152" s="7" t="s">
        <v>26</v>
      </c>
      <c r="R152" s="108">
        <f>1-(H152+K152+N152)</f>
        <v>0.6947</v>
      </c>
      <c r="S152" s="107"/>
      <c r="T152" s="84" t="s">
        <v>97</v>
      </c>
    </row>
    <row r="153" spans="1:14" ht="16.5" customHeight="1">
      <c r="A153" s="7" t="s">
        <v>85</v>
      </c>
      <c r="B153" s="7" t="s">
        <v>98</v>
      </c>
      <c r="F153" s="108">
        <f>R152</f>
        <v>0.6947</v>
      </c>
      <c r="G153" s="78"/>
      <c r="H153" s="82" t="s">
        <v>28</v>
      </c>
      <c r="I153" s="108">
        <f>ROUND(J148/100,3)</f>
        <v>0.465</v>
      </c>
      <c r="J153" s="78"/>
      <c r="K153" s="78" t="s">
        <v>26</v>
      </c>
      <c r="L153" s="108">
        <f>ROUND(F153*I153,3)</f>
        <v>0.323</v>
      </c>
      <c r="M153" s="108"/>
      <c r="N153" s="84" t="s">
        <v>97</v>
      </c>
    </row>
    <row r="154" spans="1:14" ht="16.5" customHeight="1">
      <c r="A154" s="7" t="s">
        <v>85</v>
      </c>
      <c r="B154" s="7" t="s">
        <v>99</v>
      </c>
      <c r="F154" s="108">
        <f>R152</f>
        <v>0.6947</v>
      </c>
      <c r="G154" s="78"/>
      <c r="H154" s="78" t="s">
        <v>75</v>
      </c>
      <c r="I154" s="108">
        <f>L153</f>
        <v>0.323</v>
      </c>
      <c r="J154" s="78"/>
      <c r="K154" s="78" t="s">
        <v>26</v>
      </c>
      <c r="L154" s="108">
        <f>ROUND(F154-I154,3)</f>
        <v>0.372</v>
      </c>
      <c r="M154" s="78"/>
      <c r="N154" s="84" t="s">
        <v>97</v>
      </c>
    </row>
    <row r="155" spans="1:17" ht="16.5" customHeight="1">
      <c r="A155" s="7" t="s">
        <v>85</v>
      </c>
      <c r="B155" s="7" t="s">
        <v>100</v>
      </c>
      <c r="F155" s="108">
        <f>L153</f>
        <v>0.323</v>
      </c>
      <c r="G155" s="78"/>
      <c r="H155" s="82" t="s">
        <v>28</v>
      </c>
      <c r="I155" s="78">
        <f>I132</f>
        <v>2.58</v>
      </c>
      <c r="J155" s="78"/>
      <c r="K155" s="82" t="s">
        <v>28</v>
      </c>
      <c r="L155" s="78">
        <v>1000</v>
      </c>
      <c r="M155" s="78"/>
      <c r="N155" s="78" t="s">
        <v>26</v>
      </c>
      <c r="O155" s="79">
        <f>ROUND(F155*I155*L155,0)</f>
        <v>833</v>
      </c>
      <c r="P155" s="79"/>
      <c r="Q155" s="7" t="s">
        <v>89</v>
      </c>
    </row>
    <row r="156" spans="1:17" ht="16.5" customHeight="1">
      <c r="A156" s="7" t="s">
        <v>85</v>
      </c>
      <c r="B156" s="7" t="s">
        <v>101</v>
      </c>
      <c r="F156" s="108">
        <f>L154</f>
        <v>0.372</v>
      </c>
      <c r="G156" s="78"/>
      <c r="H156" s="82" t="s">
        <v>28</v>
      </c>
      <c r="I156" s="107">
        <f>I133</f>
        <v>2.7</v>
      </c>
      <c r="J156" s="78"/>
      <c r="K156" s="82" t="s">
        <v>28</v>
      </c>
      <c r="L156" s="78">
        <v>1000</v>
      </c>
      <c r="M156" s="78"/>
      <c r="N156" s="78" t="s">
        <v>26</v>
      </c>
      <c r="O156" s="79">
        <f>ROUND(F156*I156*L156,0)</f>
        <v>1004</v>
      </c>
      <c r="P156" s="79"/>
      <c r="Q156" s="7" t="s">
        <v>89</v>
      </c>
    </row>
    <row r="157" spans="1:14" ht="16.5" customHeight="1">
      <c r="A157" s="7" t="s">
        <v>85</v>
      </c>
      <c r="B157" s="7" t="s">
        <v>102</v>
      </c>
      <c r="F157" s="79">
        <f>M149</f>
        <v>333</v>
      </c>
      <c r="G157" s="78"/>
      <c r="H157" s="82" t="s">
        <v>28</v>
      </c>
      <c r="I157" s="78">
        <f>I134</f>
        <v>0.003</v>
      </c>
      <c r="J157" s="78"/>
      <c r="K157" s="78" t="s">
        <v>26</v>
      </c>
      <c r="L157" s="107">
        <f>F157*I157</f>
        <v>0.999</v>
      </c>
      <c r="M157" s="107"/>
      <c r="N157" s="7" t="s">
        <v>89</v>
      </c>
    </row>
    <row r="158" ht="16.5" customHeight="1">
      <c r="A158" s="7" t="s">
        <v>138</v>
      </c>
    </row>
    <row r="159" spans="1:16" ht="16.5" customHeight="1">
      <c r="A159" s="7" t="s">
        <v>85</v>
      </c>
      <c r="B159" s="78" t="s">
        <v>135</v>
      </c>
      <c r="C159" s="78"/>
      <c r="D159" s="78"/>
      <c r="E159" s="79">
        <f>C140</f>
        <v>54.7</v>
      </c>
      <c r="F159" s="119" t="s">
        <v>11</v>
      </c>
      <c r="G159" s="78"/>
      <c r="H159" s="78" t="s">
        <v>136</v>
      </c>
      <c r="I159" s="78"/>
      <c r="J159" s="83">
        <f>G140</f>
        <v>46.45</v>
      </c>
      <c r="K159" s="78" t="s">
        <v>11</v>
      </c>
      <c r="L159" s="78"/>
      <c r="M159" s="78" t="s">
        <v>137</v>
      </c>
      <c r="N159" s="79">
        <f>K139</f>
        <v>166.3</v>
      </c>
      <c r="O159" s="78"/>
      <c r="P159" s="7" t="s">
        <v>89</v>
      </c>
    </row>
    <row r="160" spans="6:15" ht="18" customHeight="1">
      <c r="F160" s="7" t="s">
        <v>91</v>
      </c>
      <c r="G160" s="79">
        <f>N159</f>
        <v>166.3</v>
      </c>
      <c r="H160" s="78"/>
      <c r="I160" s="106" t="s">
        <v>76</v>
      </c>
      <c r="J160" s="107">
        <f>ROUND(E159/100,2)</f>
        <v>0.55</v>
      </c>
      <c r="K160" s="107"/>
      <c r="L160" s="7" t="s">
        <v>26</v>
      </c>
      <c r="M160" s="79">
        <f>ROUND(G160/J160,0)</f>
        <v>302</v>
      </c>
      <c r="N160" s="79"/>
      <c r="O160" s="7" t="s">
        <v>89</v>
      </c>
    </row>
    <row r="161" spans="1:15" ht="18" customHeight="1">
      <c r="A161" s="7" t="s">
        <v>85</v>
      </c>
      <c r="B161" s="7" t="s">
        <v>92</v>
      </c>
      <c r="F161" s="7" t="s">
        <v>91</v>
      </c>
      <c r="G161" s="79">
        <f>M160</f>
        <v>302</v>
      </c>
      <c r="H161" s="78"/>
      <c r="I161" s="106" t="s">
        <v>76</v>
      </c>
      <c r="J161" s="78">
        <f>J150</f>
        <v>3.05</v>
      </c>
      <c r="K161" s="78"/>
      <c r="L161" s="7" t="s">
        <v>26</v>
      </c>
      <c r="M161" s="79">
        <f>ROUND(G161/J161,0)</f>
        <v>99</v>
      </c>
      <c r="N161" s="79"/>
      <c r="O161" s="7" t="s">
        <v>93</v>
      </c>
    </row>
    <row r="162" spans="1:15" ht="18" customHeight="1">
      <c r="A162" s="7" t="s">
        <v>85</v>
      </c>
      <c r="B162" s="7" t="s">
        <v>94</v>
      </c>
      <c r="M162" s="78">
        <f>M151</f>
        <v>30</v>
      </c>
      <c r="N162" s="78"/>
      <c r="O162" s="7" t="s">
        <v>93</v>
      </c>
    </row>
    <row r="163" spans="1:20" ht="18" customHeight="1">
      <c r="A163" s="7" t="s">
        <v>85</v>
      </c>
      <c r="B163" s="7" t="s">
        <v>95</v>
      </c>
      <c r="F163" s="84" t="s">
        <v>96</v>
      </c>
      <c r="G163" s="7" t="s">
        <v>48</v>
      </c>
      <c r="H163" s="108">
        <f>M161/1000</f>
        <v>0.099</v>
      </c>
      <c r="I163" s="108"/>
      <c r="J163" s="108" t="s">
        <v>44</v>
      </c>
      <c r="K163" s="108">
        <f>N159/1000</f>
        <v>0.1663</v>
      </c>
      <c r="L163" s="108"/>
      <c r="M163" s="78" t="s">
        <v>44</v>
      </c>
      <c r="N163" s="78">
        <f>M162/1000</f>
        <v>0.03</v>
      </c>
      <c r="O163" s="78"/>
      <c r="P163" s="7" t="s">
        <v>3</v>
      </c>
      <c r="Q163" s="7" t="s">
        <v>26</v>
      </c>
      <c r="R163" s="108">
        <f>1-(H163+K163+N163)</f>
        <v>0.7047</v>
      </c>
      <c r="S163" s="107"/>
      <c r="T163" s="84" t="s">
        <v>97</v>
      </c>
    </row>
    <row r="164" spans="1:14" ht="18" customHeight="1">
      <c r="A164" s="7" t="s">
        <v>85</v>
      </c>
      <c r="B164" s="7" t="s">
        <v>98</v>
      </c>
      <c r="F164" s="108">
        <f>R163</f>
        <v>0.7047</v>
      </c>
      <c r="G164" s="78"/>
      <c r="H164" s="82" t="s">
        <v>28</v>
      </c>
      <c r="I164" s="108">
        <f>ROUND(J159/100,3)</f>
        <v>0.465</v>
      </c>
      <c r="J164" s="78"/>
      <c r="K164" s="78" t="s">
        <v>26</v>
      </c>
      <c r="L164" s="108">
        <f>ROUND(F164*I164,3)</f>
        <v>0.328</v>
      </c>
      <c r="M164" s="108"/>
      <c r="N164" s="84" t="s">
        <v>97</v>
      </c>
    </row>
    <row r="165" spans="1:14" ht="18" customHeight="1">
      <c r="A165" s="7" t="s">
        <v>85</v>
      </c>
      <c r="B165" s="7" t="s">
        <v>99</v>
      </c>
      <c r="F165" s="108">
        <f>R163</f>
        <v>0.7047</v>
      </c>
      <c r="G165" s="78"/>
      <c r="H165" s="78" t="s">
        <v>75</v>
      </c>
      <c r="I165" s="108">
        <f>L164</f>
        <v>0.328</v>
      </c>
      <c r="J165" s="78"/>
      <c r="K165" s="78" t="s">
        <v>26</v>
      </c>
      <c r="L165" s="108">
        <f>ROUND(F165-I165,3)</f>
        <v>0.377</v>
      </c>
      <c r="M165" s="78"/>
      <c r="N165" s="84" t="s">
        <v>97</v>
      </c>
    </row>
    <row r="166" spans="1:17" ht="18" customHeight="1">
      <c r="A166" s="7" t="s">
        <v>85</v>
      </c>
      <c r="B166" s="7" t="s">
        <v>100</v>
      </c>
      <c r="F166" s="108">
        <f>L164</f>
        <v>0.328</v>
      </c>
      <c r="G166" s="78"/>
      <c r="H166" s="82" t="s">
        <v>28</v>
      </c>
      <c r="I166" s="78">
        <f>I155</f>
        <v>2.58</v>
      </c>
      <c r="J166" s="78"/>
      <c r="K166" s="82" t="s">
        <v>28</v>
      </c>
      <c r="L166" s="78">
        <v>1000</v>
      </c>
      <c r="M166" s="78"/>
      <c r="N166" s="78" t="s">
        <v>26</v>
      </c>
      <c r="O166" s="79">
        <f>ROUND(F166*I166*L166,0)</f>
        <v>846</v>
      </c>
      <c r="P166" s="79"/>
      <c r="Q166" s="7" t="s">
        <v>89</v>
      </c>
    </row>
    <row r="167" spans="1:17" ht="18" customHeight="1">
      <c r="A167" s="7" t="s">
        <v>85</v>
      </c>
      <c r="B167" s="7" t="s">
        <v>101</v>
      </c>
      <c r="F167" s="108">
        <f>L165</f>
        <v>0.377</v>
      </c>
      <c r="G167" s="78"/>
      <c r="H167" s="82" t="s">
        <v>28</v>
      </c>
      <c r="I167" s="107">
        <f>I156</f>
        <v>2.7</v>
      </c>
      <c r="J167" s="78"/>
      <c r="K167" s="82" t="s">
        <v>28</v>
      </c>
      <c r="L167" s="78">
        <v>1000</v>
      </c>
      <c r="M167" s="78"/>
      <c r="N167" s="78" t="s">
        <v>26</v>
      </c>
      <c r="O167" s="79">
        <f>ROUND(F167*I167*L167,0)</f>
        <v>1018</v>
      </c>
      <c r="P167" s="79"/>
      <c r="Q167" s="7" t="s">
        <v>89</v>
      </c>
    </row>
    <row r="168" spans="1:14" ht="18" customHeight="1">
      <c r="A168" s="7" t="s">
        <v>85</v>
      </c>
      <c r="B168" s="7" t="s">
        <v>102</v>
      </c>
      <c r="F168" s="79">
        <f>M160</f>
        <v>302</v>
      </c>
      <c r="G168" s="78"/>
      <c r="H168" s="82" t="s">
        <v>28</v>
      </c>
      <c r="I168" s="78">
        <f>I157</f>
        <v>0.003</v>
      </c>
      <c r="J168" s="78"/>
      <c r="K168" s="78" t="s">
        <v>26</v>
      </c>
      <c r="L168" s="107">
        <f>F168*I168</f>
        <v>0.906</v>
      </c>
      <c r="M168" s="107"/>
      <c r="N168" s="7" t="s">
        <v>89</v>
      </c>
    </row>
    <row r="169" ht="21" customHeight="1">
      <c r="A169" s="84" t="s">
        <v>139</v>
      </c>
    </row>
    <row r="170" spans="1:16" ht="20.25" customHeight="1">
      <c r="A170" s="7" t="s">
        <v>85</v>
      </c>
      <c r="B170" s="78" t="s">
        <v>135</v>
      </c>
      <c r="C170" s="78"/>
      <c r="D170" s="78"/>
      <c r="E170" s="79">
        <f>C140+5</f>
        <v>59.7</v>
      </c>
      <c r="F170" s="119" t="s">
        <v>11</v>
      </c>
      <c r="G170" s="78"/>
      <c r="H170" s="78" t="s">
        <v>136</v>
      </c>
      <c r="I170" s="78"/>
      <c r="J170" s="83">
        <f>J159</f>
        <v>46.45</v>
      </c>
      <c r="K170" s="78" t="s">
        <v>11</v>
      </c>
      <c r="L170" s="78"/>
      <c r="M170" s="78" t="s">
        <v>137</v>
      </c>
      <c r="N170" s="79">
        <f>N159</f>
        <v>166.3</v>
      </c>
      <c r="O170" s="78"/>
      <c r="P170" s="7" t="s">
        <v>89</v>
      </c>
    </row>
    <row r="171" spans="6:15" ht="16.5" customHeight="1">
      <c r="F171" s="7" t="s">
        <v>91</v>
      </c>
      <c r="G171" s="79">
        <f>N170</f>
        <v>166.3</v>
      </c>
      <c r="H171" s="78"/>
      <c r="I171" s="106" t="s">
        <v>76</v>
      </c>
      <c r="J171" s="107">
        <f>ROUND(E170/100,2)</f>
        <v>0.6</v>
      </c>
      <c r="K171" s="107"/>
      <c r="L171" s="7" t="s">
        <v>26</v>
      </c>
      <c r="M171" s="79">
        <f>ROUND(G171/J171,0)</f>
        <v>277</v>
      </c>
      <c r="N171" s="79"/>
      <c r="O171" s="7" t="s">
        <v>89</v>
      </c>
    </row>
    <row r="172" spans="1:15" ht="16.5" customHeight="1">
      <c r="A172" s="7" t="s">
        <v>85</v>
      </c>
      <c r="B172" s="7" t="s">
        <v>92</v>
      </c>
      <c r="F172" s="7" t="s">
        <v>91</v>
      </c>
      <c r="G172" s="79">
        <f>M171</f>
        <v>277</v>
      </c>
      <c r="H172" s="78"/>
      <c r="I172" s="106" t="s">
        <v>76</v>
      </c>
      <c r="J172" s="78">
        <f>J161</f>
        <v>3.05</v>
      </c>
      <c r="K172" s="78"/>
      <c r="L172" s="7" t="s">
        <v>26</v>
      </c>
      <c r="M172" s="79">
        <f>ROUND(G172/J172,0)</f>
        <v>91</v>
      </c>
      <c r="N172" s="79"/>
      <c r="O172" s="7" t="s">
        <v>93</v>
      </c>
    </row>
    <row r="173" spans="1:15" ht="17.25" customHeight="1">
      <c r="A173" s="7" t="s">
        <v>85</v>
      </c>
      <c r="B173" s="7" t="s">
        <v>94</v>
      </c>
      <c r="M173" s="78">
        <f>M162</f>
        <v>30</v>
      </c>
      <c r="N173" s="78"/>
      <c r="O173" s="7" t="s">
        <v>93</v>
      </c>
    </row>
    <row r="174" spans="1:20" ht="17.25" customHeight="1">
      <c r="A174" s="7" t="s">
        <v>85</v>
      </c>
      <c r="B174" s="7" t="s">
        <v>95</v>
      </c>
      <c r="F174" s="84" t="s">
        <v>96</v>
      </c>
      <c r="G174" s="7" t="s">
        <v>48</v>
      </c>
      <c r="H174" s="108">
        <f>M172/1000</f>
        <v>0.091</v>
      </c>
      <c r="I174" s="108"/>
      <c r="J174" s="108" t="s">
        <v>44</v>
      </c>
      <c r="K174" s="108">
        <f>N170/1000</f>
        <v>0.1663</v>
      </c>
      <c r="L174" s="108"/>
      <c r="M174" s="78" t="s">
        <v>44</v>
      </c>
      <c r="N174" s="78">
        <f>M173/1000</f>
        <v>0.03</v>
      </c>
      <c r="O174" s="78"/>
      <c r="P174" s="7" t="s">
        <v>3</v>
      </c>
      <c r="Q174" s="7" t="s">
        <v>26</v>
      </c>
      <c r="R174" s="108">
        <f>1-(H174+K174+N174)</f>
        <v>0.7127</v>
      </c>
      <c r="S174" s="107"/>
      <c r="T174" s="84" t="s">
        <v>97</v>
      </c>
    </row>
    <row r="175" spans="1:14" ht="19.5" customHeight="1">
      <c r="A175" s="7" t="s">
        <v>85</v>
      </c>
      <c r="B175" s="7" t="s">
        <v>98</v>
      </c>
      <c r="F175" s="108">
        <f>R174</f>
        <v>0.7127</v>
      </c>
      <c r="G175" s="78"/>
      <c r="H175" s="82" t="s">
        <v>28</v>
      </c>
      <c r="I175" s="108">
        <f>ROUND(J170/100,3)</f>
        <v>0.465</v>
      </c>
      <c r="J175" s="78"/>
      <c r="K175" s="78" t="s">
        <v>26</v>
      </c>
      <c r="L175" s="108">
        <f>ROUND(F175*I175,3)</f>
        <v>0.331</v>
      </c>
      <c r="M175" s="108"/>
      <c r="N175" s="84" t="s">
        <v>97</v>
      </c>
    </row>
    <row r="176" spans="1:14" ht="17.25" customHeight="1">
      <c r="A176" s="7" t="s">
        <v>85</v>
      </c>
      <c r="B176" s="7" t="s">
        <v>99</v>
      </c>
      <c r="F176" s="108">
        <f>R174</f>
        <v>0.7127</v>
      </c>
      <c r="G176" s="78"/>
      <c r="H176" s="78" t="s">
        <v>75</v>
      </c>
      <c r="I176" s="108">
        <f>L175</f>
        <v>0.331</v>
      </c>
      <c r="J176" s="78"/>
      <c r="K176" s="78" t="s">
        <v>26</v>
      </c>
      <c r="L176" s="108">
        <f>ROUND(F176-I176,3)</f>
        <v>0.382</v>
      </c>
      <c r="M176" s="78"/>
      <c r="N176" s="84" t="s">
        <v>97</v>
      </c>
    </row>
    <row r="177" spans="1:17" ht="19.5" customHeight="1">
      <c r="A177" s="7" t="s">
        <v>85</v>
      </c>
      <c r="B177" s="7" t="s">
        <v>100</v>
      </c>
      <c r="F177" s="108">
        <f>L175</f>
        <v>0.331</v>
      </c>
      <c r="G177" s="78"/>
      <c r="H177" s="82" t="s">
        <v>28</v>
      </c>
      <c r="I177" s="78">
        <f>I166</f>
        <v>2.58</v>
      </c>
      <c r="J177" s="78"/>
      <c r="K177" s="82" t="s">
        <v>28</v>
      </c>
      <c r="L177" s="78">
        <v>1000</v>
      </c>
      <c r="M177" s="78"/>
      <c r="N177" s="78" t="s">
        <v>26</v>
      </c>
      <c r="O177" s="79">
        <f>ROUND(F177*I177*L177,0)</f>
        <v>854</v>
      </c>
      <c r="P177" s="79"/>
      <c r="Q177" s="7" t="s">
        <v>89</v>
      </c>
    </row>
    <row r="178" spans="1:17" ht="19.5" customHeight="1">
      <c r="A178" s="7" t="s">
        <v>85</v>
      </c>
      <c r="B178" s="7" t="s">
        <v>101</v>
      </c>
      <c r="F178" s="108">
        <f>L176</f>
        <v>0.382</v>
      </c>
      <c r="G178" s="51"/>
      <c r="H178" s="82" t="s">
        <v>28</v>
      </c>
      <c r="I178" s="107">
        <f>I167</f>
        <v>2.7</v>
      </c>
      <c r="J178" s="78"/>
      <c r="K178" s="82" t="s">
        <v>28</v>
      </c>
      <c r="L178" s="78">
        <v>1000</v>
      </c>
      <c r="M178" s="78"/>
      <c r="N178" s="78" t="s">
        <v>26</v>
      </c>
      <c r="O178" s="79">
        <f>ROUND(F178*I178*L178,0)</f>
        <v>1031</v>
      </c>
      <c r="P178" s="79"/>
      <c r="Q178" s="7" t="s">
        <v>89</v>
      </c>
    </row>
    <row r="179" spans="1:14" ht="20.25" customHeight="1">
      <c r="A179" s="7" t="s">
        <v>85</v>
      </c>
      <c r="B179" s="7" t="s">
        <v>102</v>
      </c>
      <c r="F179" s="79">
        <f>M171</f>
        <v>277</v>
      </c>
      <c r="G179" s="78"/>
      <c r="H179" s="82" t="s">
        <v>28</v>
      </c>
      <c r="I179" s="78">
        <f>I168</f>
        <v>0.003</v>
      </c>
      <c r="J179" s="78"/>
      <c r="K179" s="78" t="s">
        <v>26</v>
      </c>
      <c r="L179" s="107">
        <f>F179*I179</f>
        <v>0.8310000000000001</v>
      </c>
      <c r="M179" s="107"/>
      <c r="N179" s="7" t="s">
        <v>89</v>
      </c>
    </row>
    <row r="180" ht="21.75" customHeight="1">
      <c r="A180" s="7" t="s">
        <v>140</v>
      </c>
    </row>
    <row r="181" spans="1:20" ht="21" customHeight="1">
      <c r="A181" s="31" t="s">
        <v>106</v>
      </c>
      <c r="B181" s="109"/>
      <c r="C181" s="32" t="s">
        <v>47</v>
      </c>
      <c r="D181" s="109"/>
      <c r="E181" s="32" t="s">
        <v>81</v>
      </c>
      <c r="F181" s="109"/>
      <c r="G181" s="86" t="s">
        <v>108</v>
      </c>
      <c r="H181" s="86"/>
      <c r="I181" s="86"/>
      <c r="J181" s="86"/>
      <c r="K181" s="86"/>
      <c r="L181" s="86"/>
      <c r="M181" s="86"/>
      <c r="N181" s="86"/>
      <c r="O181" s="86"/>
      <c r="P181" s="87"/>
      <c r="Q181" s="120" t="s">
        <v>141</v>
      </c>
      <c r="R181" s="120"/>
      <c r="S181" s="120"/>
      <c r="T181" s="121"/>
    </row>
    <row r="182" spans="1:20" ht="24.75" customHeight="1">
      <c r="A182" s="71"/>
      <c r="B182" s="88"/>
      <c r="C182" s="72" t="s">
        <v>109</v>
      </c>
      <c r="D182" s="88"/>
      <c r="E182" s="72" t="s">
        <v>109</v>
      </c>
      <c r="F182" s="88"/>
      <c r="G182" s="72" t="s">
        <v>111</v>
      </c>
      <c r="H182" s="88"/>
      <c r="I182" s="72" t="s">
        <v>67</v>
      </c>
      <c r="J182" s="88"/>
      <c r="K182" s="72" t="s">
        <v>112</v>
      </c>
      <c r="L182" s="88"/>
      <c r="M182" s="72" t="s">
        <v>113</v>
      </c>
      <c r="N182" s="88"/>
      <c r="O182" s="72" t="s">
        <v>114</v>
      </c>
      <c r="P182" s="88"/>
      <c r="Q182" s="77" t="s">
        <v>142</v>
      </c>
      <c r="R182" s="77" t="s">
        <v>143</v>
      </c>
      <c r="S182" s="76" t="s">
        <v>144</v>
      </c>
      <c r="T182" s="77"/>
    </row>
    <row r="183" spans="1:20" ht="24.75" customHeight="1">
      <c r="A183" s="66" t="s">
        <v>145</v>
      </c>
      <c r="B183" s="112"/>
      <c r="C183" s="111"/>
      <c r="D183" s="112"/>
      <c r="E183" s="51"/>
      <c r="F183" s="112"/>
      <c r="G183" s="94">
        <f>M149</f>
        <v>333</v>
      </c>
      <c r="H183" s="88"/>
      <c r="I183" s="94">
        <f>N148</f>
        <v>166.3</v>
      </c>
      <c r="J183" s="88"/>
      <c r="K183" s="94">
        <f>O155</f>
        <v>833</v>
      </c>
      <c r="L183" s="88"/>
      <c r="M183" s="94">
        <f>O156</f>
        <v>1004</v>
      </c>
      <c r="N183" s="88"/>
      <c r="O183" s="92">
        <f>L168</f>
        <v>0.906</v>
      </c>
      <c r="P183" s="88"/>
      <c r="Q183" s="70"/>
      <c r="R183" s="70"/>
      <c r="S183" s="65"/>
      <c r="T183" s="70"/>
    </row>
    <row r="184" spans="1:22" ht="24.75" customHeight="1">
      <c r="A184" s="71"/>
      <c r="B184" s="88"/>
      <c r="C184" s="94">
        <f>E148</f>
        <v>49.7</v>
      </c>
      <c r="D184" s="88"/>
      <c r="E184" s="90">
        <f>J170</f>
        <v>46.45</v>
      </c>
      <c r="F184" s="88"/>
      <c r="G184" s="113">
        <f>G183*0.04</f>
        <v>13.32</v>
      </c>
      <c r="H184" s="114"/>
      <c r="I184" s="113">
        <f>I183*0.04</f>
        <v>6.652000000000001</v>
      </c>
      <c r="J184" s="114"/>
      <c r="K184" s="113">
        <f>K183*0.04</f>
        <v>33.32</v>
      </c>
      <c r="L184" s="114"/>
      <c r="M184" s="113">
        <f>M183*0.04</f>
        <v>40.160000000000004</v>
      </c>
      <c r="N184" s="114"/>
      <c r="O184" s="113">
        <f>O183*0.04</f>
        <v>0.03624</v>
      </c>
      <c r="P184" s="114"/>
      <c r="Q184" s="122">
        <v>7.5</v>
      </c>
      <c r="R184" s="122">
        <v>4.2</v>
      </c>
      <c r="S184" s="72">
        <v>250</v>
      </c>
      <c r="T184" s="88"/>
      <c r="V184" s="105">
        <f>I247</f>
        <v>288</v>
      </c>
    </row>
    <row r="185" spans="1:22" ht="24.75" customHeight="1">
      <c r="A185" s="66" t="s">
        <v>146</v>
      </c>
      <c r="B185" s="112"/>
      <c r="C185" s="111"/>
      <c r="D185" s="112"/>
      <c r="E185" s="51"/>
      <c r="F185" s="112"/>
      <c r="G185" s="94">
        <f>M160</f>
        <v>302</v>
      </c>
      <c r="H185" s="88"/>
      <c r="I185" s="94">
        <f>N159</f>
        <v>166.3</v>
      </c>
      <c r="J185" s="88"/>
      <c r="K185" s="94">
        <f>O166</f>
        <v>846</v>
      </c>
      <c r="L185" s="88"/>
      <c r="M185" s="94">
        <f>O167</f>
        <v>1018</v>
      </c>
      <c r="N185" s="88"/>
      <c r="O185" s="92">
        <f>L168</f>
        <v>0.906</v>
      </c>
      <c r="P185" s="88"/>
      <c r="Q185" s="123"/>
      <c r="R185" s="123"/>
      <c r="S185" s="65"/>
      <c r="T185" s="70"/>
      <c r="V185" s="124">
        <f>1/I211</f>
        <v>0.5780346820809249</v>
      </c>
    </row>
    <row r="186" spans="1:20" ht="24.75" customHeight="1">
      <c r="A186" s="71"/>
      <c r="B186" s="88"/>
      <c r="C186" s="94">
        <f>E159</f>
        <v>54.7</v>
      </c>
      <c r="D186" s="88"/>
      <c r="E186" s="90">
        <f>J170</f>
        <v>46.45</v>
      </c>
      <c r="F186" s="88"/>
      <c r="G186" s="113">
        <f>G185*0.04</f>
        <v>12.08</v>
      </c>
      <c r="H186" s="114"/>
      <c r="I186" s="113">
        <f>I185*0.04</f>
        <v>6.652000000000001</v>
      </c>
      <c r="J186" s="114"/>
      <c r="K186" s="113">
        <f>K185*0.04</f>
        <v>33.84</v>
      </c>
      <c r="L186" s="114"/>
      <c r="M186" s="113">
        <f>M185*0.04</f>
        <v>40.72</v>
      </c>
      <c r="N186" s="114"/>
      <c r="O186" s="113">
        <f>O185*0.04</f>
        <v>0.03624</v>
      </c>
      <c r="P186" s="114"/>
      <c r="Q186" s="122">
        <v>8.5</v>
      </c>
      <c r="R186" s="122">
        <v>4.5</v>
      </c>
      <c r="S186" s="72">
        <v>232</v>
      </c>
      <c r="T186" s="88"/>
    </row>
    <row r="187" spans="1:20" ht="24.75" customHeight="1">
      <c r="A187" s="66" t="s">
        <v>147</v>
      </c>
      <c r="B187" s="112"/>
      <c r="C187" s="111"/>
      <c r="D187" s="112"/>
      <c r="E187" s="51"/>
      <c r="F187" s="112"/>
      <c r="G187" s="94">
        <f>M171</f>
        <v>277</v>
      </c>
      <c r="H187" s="88"/>
      <c r="I187" s="94">
        <f>N170</f>
        <v>166.3</v>
      </c>
      <c r="J187" s="88"/>
      <c r="K187" s="94">
        <f>O177</f>
        <v>854</v>
      </c>
      <c r="L187" s="88"/>
      <c r="M187" s="94">
        <f>O178</f>
        <v>1031</v>
      </c>
      <c r="N187" s="88"/>
      <c r="O187" s="92">
        <f>L179</f>
        <v>0.8310000000000001</v>
      </c>
      <c r="P187" s="88"/>
      <c r="Q187" s="123"/>
      <c r="R187" s="123"/>
      <c r="S187" s="65"/>
      <c r="T187" s="70"/>
    </row>
    <row r="188" spans="1:20" ht="24.75" customHeight="1">
      <c r="A188" s="71"/>
      <c r="B188" s="88"/>
      <c r="C188" s="94">
        <f>E170</f>
        <v>59.7</v>
      </c>
      <c r="D188" s="88"/>
      <c r="E188" s="90">
        <f>E186</f>
        <v>46.45</v>
      </c>
      <c r="F188" s="88"/>
      <c r="G188" s="113">
        <f>G187*0.04</f>
        <v>11.08</v>
      </c>
      <c r="H188" s="114"/>
      <c r="I188" s="113">
        <f>I187*0.04</f>
        <v>6.652000000000001</v>
      </c>
      <c r="J188" s="114"/>
      <c r="K188" s="113">
        <f>K187*0.04</f>
        <v>34.160000000000004</v>
      </c>
      <c r="L188" s="114"/>
      <c r="M188" s="113">
        <f>M187*0.04</f>
        <v>41.24</v>
      </c>
      <c r="N188" s="114"/>
      <c r="O188" s="113">
        <f>O187*0.04</f>
        <v>0.033240000000000006</v>
      </c>
      <c r="P188" s="114"/>
      <c r="Q188" s="125">
        <v>9</v>
      </c>
      <c r="R188" s="122">
        <v>4.3</v>
      </c>
      <c r="S188" s="72">
        <v>216</v>
      </c>
      <c r="T188" s="88"/>
    </row>
    <row r="189" ht="8.25" customHeight="1"/>
    <row r="190" ht="21.75" customHeight="1">
      <c r="A190" s="7" t="s">
        <v>148</v>
      </c>
    </row>
    <row r="191" spans="1:3" ht="21.75" customHeight="1">
      <c r="A191" s="7" t="s">
        <v>149</v>
      </c>
      <c r="B191" s="7" t="s">
        <v>75</v>
      </c>
      <c r="C191" s="7" t="s">
        <v>150</v>
      </c>
    </row>
    <row r="192" spans="3:9" ht="21.75" customHeight="1">
      <c r="C192" s="7" t="s">
        <v>151</v>
      </c>
      <c r="D192" s="7" t="s">
        <v>26</v>
      </c>
      <c r="E192" s="7" t="s">
        <v>152</v>
      </c>
      <c r="F192" s="7" t="s">
        <v>44</v>
      </c>
      <c r="G192" s="7" t="s">
        <v>153</v>
      </c>
      <c r="I192" s="84" t="s">
        <v>154</v>
      </c>
    </row>
    <row r="193" spans="2:3" ht="18" customHeight="1">
      <c r="B193" s="7" t="s">
        <v>75</v>
      </c>
      <c r="C193" s="7" t="s">
        <v>155</v>
      </c>
    </row>
    <row r="194" spans="1:20" ht="17.25" customHeight="1">
      <c r="A194" s="85" t="s">
        <v>156</v>
      </c>
      <c r="B194" s="87"/>
      <c r="C194" s="86" t="s">
        <v>157</v>
      </c>
      <c r="D194" s="86"/>
      <c r="E194" s="86"/>
      <c r="F194" s="87"/>
      <c r="G194" s="86" t="s">
        <v>151</v>
      </c>
      <c r="H194" s="86"/>
      <c r="I194" s="86"/>
      <c r="J194" s="86"/>
      <c r="K194" s="87"/>
      <c r="L194" s="86" t="s">
        <v>158</v>
      </c>
      <c r="M194" s="86"/>
      <c r="N194" s="86"/>
      <c r="O194" s="86"/>
      <c r="P194" s="87"/>
      <c r="Q194" s="86" t="s">
        <v>159</v>
      </c>
      <c r="R194" s="86"/>
      <c r="S194" s="86"/>
      <c r="T194" s="87"/>
    </row>
    <row r="195" spans="1:20" ht="17.25" customHeight="1">
      <c r="A195" s="71">
        <v>1</v>
      </c>
      <c r="B195" s="88"/>
      <c r="C195" s="113">
        <f>ROUND(1/C184*100,3)</f>
        <v>2.012</v>
      </c>
      <c r="D195" s="72"/>
      <c r="E195" s="72"/>
      <c r="F195" s="88"/>
      <c r="G195" s="72">
        <f>S184</f>
        <v>250</v>
      </c>
      <c r="H195" s="72"/>
      <c r="I195" s="72"/>
      <c r="J195" s="72"/>
      <c r="K195" s="88"/>
      <c r="L195" s="113">
        <f>ROUND(C195*C195,3)</f>
        <v>4.048</v>
      </c>
      <c r="M195" s="72"/>
      <c r="N195" s="72"/>
      <c r="O195" s="72"/>
      <c r="P195" s="88"/>
      <c r="Q195" s="113">
        <f>ROUND(C195*G195,3)</f>
        <v>503</v>
      </c>
      <c r="R195" s="72"/>
      <c r="S195" s="72"/>
      <c r="T195" s="88"/>
    </row>
    <row r="196" spans="1:20" ht="17.25" customHeight="1">
      <c r="A196" s="71">
        <v>2</v>
      </c>
      <c r="B196" s="88"/>
      <c r="C196" s="113">
        <f>ROUND(1/C186*100,3)</f>
        <v>1.828</v>
      </c>
      <c r="D196" s="72"/>
      <c r="E196" s="72"/>
      <c r="F196" s="88"/>
      <c r="G196" s="72">
        <f>S186</f>
        <v>232</v>
      </c>
      <c r="H196" s="72"/>
      <c r="I196" s="72"/>
      <c r="J196" s="72"/>
      <c r="K196" s="88"/>
      <c r="L196" s="113">
        <f>ROUND(C196*C196,3)</f>
        <v>3.342</v>
      </c>
      <c r="M196" s="72"/>
      <c r="N196" s="72"/>
      <c r="O196" s="72"/>
      <c r="P196" s="88"/>
      <c r="Q196" s="113">
        <f>ROUND(C196*G196,3)</f>
        <v>424.096</v>
      </c>
      <c r="R196" s="72"/>
      <c r="S196" s="72"/>
      <c r="T196" s="88"/>
    </row>
    <row r="197" spans="1:20" ht="17.25" customHeight="1">
      <c r="A197" s="71">
        <v>3</v>
      </c>
      <c r="B197" s="88"/>
      <c r="C197" s="113">
        <f>ROUND(1/C188*100,3)</f>
        <v>1.675</v>
      </c>
      <c r="D197" s="72"/>
      <c r="E197" s="72"/>
      <c r="F197" s="88"/>
      <c r="G197" s="72">
        <f>S188</f>
        <v>216</v>
      </c>
      <c r="H197" s="72"/>
      <c r="I197" s="72"/>
      <c r="J197" s="72"/>
      <c r="K197" s="88"/>
      <c r="L197" s="113">
        <f>ROUND(C197*C197,3)</f>
        <v>2.806</v>
      </c>
      <c r="M197" s="72"/>
      <c r="N197" s="72"/>
      <c r="O197" s="72"/>
      <c r="P197" s="88"/>
      <c r="Q197" s="113">
        <f>ROUND(C197*G197,3)</f>
        <v>361.8</v>
      </c>
      <c r="R197" s="72"/>
      <c r="S197" s="72"/>
      <c r="T197" s="88"/>
    </row>
    <row r="198" spans="1:20" ht="17.25" customHeight="1">
      <c r="A198" s="71" t="s">
        <v>160</v>
      </c>
      <c r="B198" s="88"/>
      <c r="C198" s="113">
        <f>SUM(C195:C197)</f>
        <v>5.515</v>
      </c>
      <c r="D198" s="72"/>
      <c r="E198" s="72"/>
      <c r="F198" s="88"/>
      <c r="G198" s="72">
        <f>SUM(G195:G197)</f>
        <v>698</v>
      </c>
      <c r="H198" s="72"/>
      <c r="I198" s="72"/>
      <c r="J198" s="72"/>
      <c r="K198" s="88"/>
      <c r="L198" s="113">
        <f>SUM(L195:L197)</f>
        <v>10.196000000000002</v>
      </c>
      <c r="M198" s="72"/>
      <c r="N198" s="72"/>
      <c r="O198" s="72"/>
      <c r="P198" s="88"/>
      <c r="Q198" s="113">
        <f>SUM(Q195:Q197)</f>
        <v>1288.896</v>
      </c>
      <c r="R198" s="72"/>
      <c r="S198" s="72"/>
      <c r="T198" s="88"/>
    </row>
    <row r="199" spans="2:16" ht="16.5" customHeight="1">
      <c r="B199" s="7" t="s">
        <v>75</v>
      </c>
      <c r="C199" s="7" t="s">
        <v>161</v>
      </c>
      <c r="P199" s="65"/>
    </row>
    <row r="200" ht="10.5" customHeight="1"/>
    <row r="201" spans="3:17" ht="16.5" customHeight="1">
      <c r="C201" s="7" t="s">
        <v>162</v>
      </c>
      <c r="E201" s="126" t="s">
        <v>163</v>
      </c>
      <c r="F201" s="76"/>
      <c r="G201" s="76"/>
      <c r="H201" s="126" t="s">
        <v>164</v>
      </c>
      <c r="I201" s="76"/>
      <c r="J201" s="127" t="s">
        <v>26</v>
      </c>
      <c r="L201" s="72">
        <f>ROUND((L198*G198-C198*Q198),3)</f>
        <v>8.547</v>
      </c>
      <c r="M201" s="72"/>
      <c r="O201" s="7" t="s">
        <v>26</v>
      </c>
      <c r="P201" s="107">
        <f>ROUND(L201/L202,2)</f>
        <v>49.4</v>
      </c>
      <c r="Q201" s="108"/>
    </row>
    <row r="202" spans="5:13" ht="16.5" customHeight="1">
      <c r="E202" s="78" t="s">
        <v>165</v>
      </c>
      <c r="F202" s="78"/>
      <c r="G202" s="78" t="s">
        <v>75</v>
      </c>
      <c r="H202" s="7" t="s">
        <v>198</v>
      </c>
      <c r="L202" s="108">
        <f>ROUND(3*L198-C198*C198,3)</f>
        <v>0.173</v>
      </c>
      <c r="M202" s="78"/>
    </row>
    <row r="203" ht="16.5" customHeight="1"/>
    <row r="204" spans="3:17" ht="16.5" customHeight="1">
      <c r="C204" s="7" t="s">
        <v>166</v>
      </c>
      <c r="E204" s="76" t="s">
        <v>167</v>
      </c>
      <c r="F204" s="76"/>
      <c r="G204" s="72" t="s">
        <v>75</v>
      </c>
      <c r="H204" s="76" t="s">
        <v>168</v>
      </c>
      <c r="I204" s="76"/>
      <c r="J204" s="127" t="s">
        <v>26</v>
      </c>
      <c r="L204" s="113">
        <f>ROUND((3*Q198)-(C198*G198),3)</f>
        <v>17.218</v>
      </c>
      <c r="M204" s="113"/>
      <c r="O204" s="7" t="s">
        <v>26</v>
      </c>
      <c r="P204" s="107">
        <f>ROUND(L204/L205,2)</f>
        <v>99.53</v>
      </c>
      <c r="Q204" s="107"/>
    </row>
    <row r="205" spans="5:13" ht="16.5" customHeight="1">
      <c r="E205" s="7" t="s">
        <v>165</v>
      </c>
      <c r="G205" s="78" t="s">
        <v>75</v>
      </c>
      <c r="H205" s="7" t="s">
        <v>198</v>
      </c>
      <c r="L205" s="108">
        <f>ROUND(3*L198-C198*C198,3)</f>
        <v>0.173</v>
      </c>
      <c r="M205" s="108"/>
    </row>
    <row r="206" spans="23:24" ht="8.25" customHeight="1">
      <c r="W206" s="105">
        <f>C184</f>
        <v>49.7</v>
      </c>
      <c r="X206" s="7">
        <f>S184</f>
        <v>250</v>
      </c>
    </row>
    <row r="207" spans="2:24" ht="16.5" customHeight="1">
      <c r="B207" s="7" t="s">
        <v>75</v>
      </c>
      <c r="C207" s="84" t="s">
        <v>169</v>
      </c>
      <c r="M207" s="7" t="s">
        <v>170</v>
      </c>
      <c r="W207" s="105">
        <f>C186</f>
        <v>54.7</v>
      </c>
      <c r="X207" s="7">
        <f>S186</f>
        <v>232</v>
      </c>
    </row>
    <row r="208" spans="23:24" ht="16.5" customHeight="1">
      <c r="W208" s="105">
        <f>C188</f>
        <v>59.7</v>
      </c>
      <c r="X208" s="7">
        <f>S188</f>
        <v>216</v>
      </c>
    </row>
    <row r="209" spans="3:18" ht="16.5" customHeight="1">
      <c r="C209" s="79">
        <f>J19</f>
        <v>222</v>
      </c>
      <c r="D209" s="79"/>
      <c r="E209" s="78" t="s">
        <v>26</v>
      </c>
      <c r="F209" s="107">
        <f>P201</f>
        <v>49.4</v>
      </c>
      <c r="G209" s="78"/>
      <c r="H209" s="78" t="s">
        <v>44</v>
      </c>
      <c r="I209" s="107">
        <f>P204</f>
        <v>99.53</v>
      </c>
      <c r="J209" s="78"/>
      <c r="K209" s="7" t="s">
        <v>45</v>
      </c>
      <c r="L209" s="78"/>
      <c r="M209" s="78"/>
      <c r="N209" s="107"/>
      <c r="O209" s="78"/>
      <c r="Q209" s="107"/>
      <c r="R209" s="107"/>
    </row>
    <row r="210" ht="16.5" customHeight="1"/>
    <row r="211" spans="3:11" ht="16.5" customHeight="1">
      <c r="C211" s="7" t="s">
        <v>45</v>
      </c>
      <c r="E211" s="78" t="s">
        <v>26</v>
      </c>
      <c r="F211" s="92">
        <f>ROUND(C209-F209,2)</f>
        <v>172.6</v>
      </c>
      <c r="G211" s="94"/>
      <c r="H211" s="78" t="s">
        <v>26</v>
      </c>
      <c r="I211" s="107">
        <f>ROUND(F211/F212,2)</f>
        <v>1.73</v>
      </c>
      <c r="J211" s="107"/>
      <c r="K211" s="119"/>
    </row>
    <row r="212" spans="6:7" ht="16.5" customHeight="1">
      <c r="F212" s="107">
        <f>I209</f>
        <v>99.53</v>
      </c>
      <c r="G212" s="78"/>
    </row>
    <row r="213" ht="16.5" customHeight="1"/>
    <row r="214" spans="3:8" ht="16.5" customHeight="1">
      <c r="C214" s="7" t="s">
        <v>57</v>
      </c>
      <c r="D214" s="7" t="s">
        <v>47</v>
      </c>
      <c r="E214" s="7" t="s">
        <v>26</v>
      </c>
      <c r="F214" s="83">
        <v>57.7</v>
      </c>
      <c r="G214" s="83"/>
      <c r="H214" s="7" t="s">
        <v>11</v>
      </c>
    </row>
    <row r="215" ht="16.5" customHeight="1"/>
    <row r="216" ht="16.5" customHeight="1"/>
    <row r="217" ht="16.5" customHeight="1"/>
    <row r="218" ht="16.5" customHeight="1"/>
    <row r="219" ht="26.25" customHeight="1"/>
    <row r="220" ht="31.5" customHeight="1"/>
    <row r="221" ht="16.5" customHeight="1">
      <c r="A221" s="7" t="s">
        <v>171</v>
      </c>
    </row>
    <row r="222" spans="1:18" ht="16.5" customHeight="1">
      <c r="A222" s="7" t="s">
        <v>85</v>
      </c>
      <c r="B222" s="7" t="s">
        <v>86</v>
      </c>
      <c r="F222" s="7" t="s">
        <v>34</v>
      </c>
      <c r="G222" s="7" t="s">
        <v>87</v>
      </c>
      <c r="L222" s="115">
        <f>F214</f>
        <v>57.7</v>
      </c>
      <c r="M222" s="84" t="s">
        <v>88</v>
      </c>
      <c r="O222" s="79">
        <f>I187</f>
        <v>166.3</v>
      </c>
      <c r="P222" s="83"/>
      <c r="Q222" s="7" t="s">
        <v>89</v>
      </c>
      <c r="R222" s="7" t="s">
        <v>90</v>
      </c>
    </row>
    <row r="223" spans="6:15" ht="16.5" customHeight="1">
      <c r="F223" s="7" t="s">
        <v>91</v>
      </c>
      <c r="G223" s="79">
        <f>O222</f>
        <v>166.3</v>
      </c>
      <c r="H223" s="78"/>
      <c r="I223" s="106" t="s">
        <v>76</v>
      </c>
      <c r="J223" s="108">
        <f>ROUND(L222/100,3)</f>
        <v>0.577</v>
      </c>
      <c r="K223" s="107"/>
      <c r="L223" s="7" t="s">
        <v>26</v>
      </c>
      <c r="M223" s="79">
        <f>G223/J223</f>
        <v>288.2149046793761</v>
      </c>
      <c r="N223" s="79"/>
      <c r="O223" s="7" t="s">
        <v>89</v>
      </c>
    </row>
    <row r="224" spans="1:15" ht="16.5" customHeight="1">
      <c r="A224" s="7" t="s">
        <v>85</v>
      </c>
      <c r="B224" s="7" t="s">
        <v>92</v>
      </c>
      <c r="F224" s="7" t="s">
        <v>91</v>
      </c>
      <c r="G224" s="79">
        <f>M223</f>
        <v>288.2149046793761</v>
      </c>
      <c r="H224" s="78"/>
      <c r="I224" s="106" t="s">
        <v>76</v>
      </c>
      <c r="J224" s="78">
        <f>J172</f>
        <v>3.05</v>
      </c>
      <c r="K224" s="78"/>
      <c r="L224" s="7" t="s">
        <v>26</v>
      </c>
      <c r="M224" s="79">
        <f>G224/J224</f>
        <v>94.49669005881184</v>
      </c>
      <c r="N224" s="79"/>
      <c r="O224" s="7" t="s">
        <v>93</v>
      </c>
    </row>
    <row r="225" spans="1:15" ht="16.5" customHeight="1">
      <c r="A225" s="7" t="s">
        <v>85</v>
      </c>
      <c r="B225" s="7" t="s">
        <v>94</v>
      </c>
      <c r="M225" s="78">
        <f>M173</f>
        <v>30</v>
      </c>
      <c r="N225" s="78"/>
      <c r="O225" s="7" t="s">
        <v>93</v>
      </c>
    </row>
    <row r="226" spans="1:20" ht="16.5" customHeight="1">
      <c r="A226" s="7" t="s">
        <v>85</v>
      </c>
      <c r="B226" s="7" t="s">
        <v>95</v>
      </c>
      <c r="F226" s="84" t="s">
        <v>96</v>
      </c>
      <c r="G226" s="7" t="s">
        <v>48</v>
      </c>
      <c r="H226" s="108">
        <f>M224/1000</f>
        <v>0.09449669005881184</v>
      </c>
      <c r="I226" s="108"/>
      <c r="J226" s="108" t="s">
        <v>44</v>
      </c>
      <c r="K226" s="128">
        <f>O222/1000</f>
        <v>0.1663</v>
      </c>
      <c r="L226" s="108"/>
      <c r="M226" s="78" t="s">
        <v>44</v>
      </c>
      <c r="N226" s="78">
        <f>M225/1000</f>
        <v>0.03</v>
      </c>
      <c r="O226" s="78"/>
      <c r="P226" s="7" t="s">
        <v>3</v>
      </c>
      <c r="Q226" s="7" t="s">
        <v>26</v>
      </c>
      <c r="R226" s="128">
        <f>1-(H226+K226+N226)</f>
        <v>0.7092033099411882</v>
      </c>
      <c r="S226" s="107"/>
      <c r="T226" s="84" t="s">
        <v>97</v>
      </c>
    </row>
    <row r="227" spans="1:14" ht="16.5" customHeight="1">
      <c r="A227" s="7" t="s">
        <v>85</v>
      </c>
      <c r="B227" s="7" t="s">
        <v>98</v>
      </c>
      <c r="F227" s="128">
        <f>R226</f>
        <v>0.7092033099411882</v>
      </c>
      <c r="G227" s="78"/>
      <c r="H227" s="82" t="s">
        <v>28</v>
      </c>
      <c r="I227" s="108">
        <f>ROUND(G238/100,3)</f>
        <v>0.465</v>
      </c>
      <c r="J227" s="128"/>
      <c r="K227" s="78" t="s">
        <v>26</v>
      </c>
      <c r="L227" s="128">
        <f>F227*I227</f>
        <v>0.3297795391226525</v>
      </c>
      <c r="M227" s="128"/>
      <c r="N227" s="84" t="s">
        <v>97</v>
      </c>
    </row>
    <row r="228" spans="1:14" ht="16.5" customHeight="1">
      <c r="A228" s="7" t="s">
        <v>85</v>
      </c>
      <c r="B228" s="7" t="s">
        <v>99</v>
      </c>
      <c r="F228" s="128">
        <f>R226</f>
        <v>0.7092033099411882</v>
      </c>
      <c r="G228" s="78"/>
      <c r="H228" s="78" t="s">
        <v>75</v>
      </c>
      <c r="I228" s="128">
        <f>L227</f>
        <v>0.3297795391226525</v>
      </c>
      <c r="J228" s="128"/>
      <c r="K228" s="78" t="s">
        <v>26</v>
      </c>
      <c r="L228" s="128">
        <f>ROUND(F228-I228,4)</f>
        <v>0.3794</v>
      </c>
      <c r="M228" s="128"/>
      <c r="N228" s="84" t="s">
        <v>97</v>
      </c>
    </row>
    <row r="229" spans="1:17" ht="16.5" customHeight="1">
      <c r="A229" s="7" t="s">
        <v>85</v>
      </c>
      <c r="B229" s="7" t="s">
        <v>100</v>
      </c>
      <c r="F229" s="128">
        <f>L227</f>
        <v>0.3297795391226525</v>
      </c>
      <c r="G229" s="78"/>
      <c r="H229" s="82" t="s">
        <v>28</v>
      </c>
      <c r="I229" s="78">
        <f>I177</f>
        <v>2.58</v>
      </c>
      <c r="J229" s="78"/>
      <c r="K229" s="82" t="s">
        <v>28</v>
      </c>
      <c r="L229" s="78">
        <v>1000</v>
      </c>
      <c r="M229" s="78"/>
      <c r="N229" s="78" t="s">
        <v>26</v>
      </c>
      <c r="O229" s="79">
        <v>850</v>
      </c>
      <c r="P229" s="79"/>
      <c r="Q229" s="7" t="s">
        <v>89</v>
      </c>
    </row>
    <row r="230" spans="1:17" ht="16.5" customHeight="1">
      <c r="A230" s="7" t="s">
        <v>85</v>
      </c>
      <c r="B230" s="7" t="s">
        <v>101</v>
      </c>
      <c r="F230" s="128">
        <f>L228</f>
        <v>0.3794</v>
      </c>
      <c r="G230" s="78"/>
      <c r="H230" s="82" t="s">
        <v>28</v>
      </c>
      <c r="I230" s="107">
        <f>I178</f>
        <v>2.7</v>
      </c>
      <c r="J230" s="78"/>
      <c r="K230" s="82" t="s">
        <v>28</v>
      </c>
      <c r="L230" s="78">
        <v>1000</v>
      </c>
      <c r="M230" s="78"/>
      <c r="N230" s="78" t="s">
        <v>26</v>
      </c>
      <c r="O230" s="79">
        <f>ROUND(F230*I230*L230,0)</f>
        <v>1024</v>
      </c>
      <c r="P230" s="79"/>
      <c r="Q230" s="7" t="s">
        <v>89</v>
      </c>
    </row>
    <row r="231" spans="1:14" ht="16.5" customHeight="1">
      <c r="A231" s="7" t="s">
        <v>85</v>
      </c>
      <c r="B231" s="7" t="s">
        <v>102</v>
      </c>
      <c r="F231" s="79">
        <f>I237</f>
        <v>288</v>
      </c>
      <c r="G231" s="78"/>
      <c r="H231" s="82" t="s">
        <v>28</v>
      </c>
      <c r="I231" s="78">
        <f>I179</f>
        <v>0.003</v>
      </c>
      <c r="J231" s="78"/>
      <c r="K231" s="78" t="s">
        <v>26</v>
      </c>
      <c r="L231" s="107">
        <f>F231*I231</f>
        <v>0.864</v>
      </c>
      <c r="M231" s="107"/>
      <c r="N231" s="7" t="s">
        <v>89</v>
      </c>
    </row>
    <row r="232" ht="10.5" customHeight="1"/>
    <row r="233" ht="16.5" customHeight="1">
      <c r="A233" s="7" t="s">
        <v>172</v>
      </c>
    </row>
    <row r="234" ht="16.5" customHeight="1">
      <c r="A234" s="7" t="s">
        <v>173</v>
      </c>
    </row>
    <row r="235" spans="1:20" ht="16.5" customHeight="1">
      <c r="A235" s="31" t="s">
        <v>106</v>
      </c>
      <c r="B235" s="109"/>
      <c r="C235" s="32" t="s">
        <v>47</v>
      </c>
      <c r="D235" s="109"/>
      <c r="E235" s="32" t="s">
        <v>107</v>
      </c>
      <c r="F235" s="109"/>
      <c r="G235" s="32" t="s">
        <v>66</v>
      </c>
      <c r="H235" s="109"/>
      <c r="I235" s="86" t="s">
        <v>108</v>
      </c>
      <c r="J235" s="86"/>
      <c r="K235" s="86"/>
      <c r="L235" s="86"/>
      <c r="M235" s="86"/>
      <c r="N235" s="86"/>
      <c r="O235" s="86"/>
      <c r="P235" s="86"/>
      <c r="Q235" s="86"/>
      <c r="R235" s="87"/>
      <c r="S235" s="32" t="s">
        <v>69</v>
      </c>
      <c r="T235" s="109"/>
    </row>
    <row r="236" spans="1:20" ht="16.5" customHeight="1">
      <c r="A236" s="71"/>
      <c r="B236" s="88"/>
      <c r="C236" s="72" t="s">
        <v>109</v>
      </c>
      <c r="D236" s="88"/>
      <c r="E236" s="89"/>
      <c r="F236" s="88"/>
      <c r="G236" s="72" t="s">
        <v>110</v>
      </c>
      <c r="H236" s="88"/>
      <c r="I236" s="72" t="s">
        <v>111</v>
      </c>
      <c r="J236" s="88"/>
      <c r="K236" s="72" t="s">
        <v>67</v>
      </c>
      <c r="L236" s="88"/>
      <c r="M236" s="72" t="s">
        <v>112</v>
      </c>
      <c r="N236" s="88"/>
      <c r="O236" s="72" t="s">
        <v>113</v>
      </c>
      <c r="P236" s="88"/>
      <c r="Q236" s="72" t="s">
        <v>114</v>
      </c>
      <c r="R236" s="88"/>
      <c r="S236" s="89"/>
      <c r="T236" s="88"/>
    </row>
    <row r="237" spans="1:20" ht="16.5" customHeight="1">
      <c r="A237" s="71">
        <v>1</v>
      </c>
      <c r="B237" s="110" t="s">
        <v>97</v>
      </c>
      <c r="C237" s="111"/>
      <c r="D237" s="112"/>
      <c r="E237" s="51"/>
      <c r="F237" s="112"/>
      <c r="G237" s="51"/>
      <c r="H237" s="112"/>
      <c r="I237" s="94">
        <f>I247</f>
        <v>288</v>
      </c>
      <c r="J237" s="88"/>
      <c r="K237" s="94">
        <f>K247</f>
        <v>166</v>
      </c>
      <c r="L237" s="88"/>
      <c r="M237" s="94">
        <f>M247</f>
        <v>850</v>
      </c>
      <c r="N237" s="88"/>
      <c r="O237" s="94">
        <f>O247</f>
        <v>1024</v>
      </c>
      <c r="P237" s="88"/>
      <c r="Q237" s="92">
        <f>Q247</f>
        <v>0.87</v>
      </c>
      <c r="R237" s="88"/>
      <c r="S237" s="111"/>
      <c r="T237" s="112"/>
    </row>
    <row r="238" spans="1:20" ht="16.5" customHeight="1">
      <c r="A238" s="71" t="s">
        <v>115</v>
      </c>
      <c r="B238" s="88"/>
      <c r="C238" s="90">
        <f>C247</f>
        <v>57.7</v>
      </c>
      <c r="D238" s="88"/>
      <c r="E238" s="72">
        <f>E140</f>
        <v>8</v>
      </c>
      <c r="F238" s="88"/>
      <c r="G238" s="90">
        <f>E186</f>
        <v>46.45</v>
      </c>
      <c r="H238" s="88"/>
      <c r="I238" s="113">
        <f>I237*0.04</f>
        <v>11.52</v>
      </c>
      <c r="J238" s="114"/>
      <c r="K238" s="113">
        <f>K237*0.04</f>
        <v>6.640000000000001</v>
      </c>
      <c r="L238" s="114"/>
      <c r="M238" s="113">
        <f>M237*0.04</f>
        <v>34</v>
      </c>
      <c r="N238" s="114"/>
      <c r="O238" s="113">
        <f>O237*0.04</f>
        <v>40.96</v>
      </c>
      <c r="P238" s="114"/>
      <c r="Q238" s="113">
        <f>Q237*0.04</f>
        <v>0.0348</v>
      </c>
      <c r="R238" s="114"/>
      <c r="S238" s="89"/>
      <c r="T238" s="88"/>
    </row>
    <row r="239" ht="16.5" customHeight="1"/>
    <row r="240" ht="16.5" customHeight="1">
      <c r="A240" s="7" t="s">
        <v>174</v>
      </c>
    </row>
    <row r="241" spans="1:20" ht="16.5" customHeight="1">
      <c r="A241" s="85" t="s">
        <v>117</v>
      </c>
      <c r="B241" s="86"/>
      <c r="C241" s="86"/>
      <c r="D241" s="86"/>
      <c r="E241" s="87"/>
      <c r="F241" s="86" t="s">
        <v>118</v>
      </c>
      <c r="G241" s="86"/>
      <c r="H241" s="86"/>
      <c r="I241" s="86"/>
      <c r="J241" s="87"/>
      <c r="K241" s="86" t="s">
        <v>119</v>
      </c>
      <c r="L241" s="86"/>
      <c r="M241" s="86"/>
      <c r="N241" s="86"/>
      <c r="O241" s="87"/>
      <c r="P241" s="86" t="s">
        <v>120</v>
      </c>
      <c r="Q241" s="86"/>
      <c r="R241" s="86"/>
      <c r="S241" s="86"/>
      <c r="T241" s="87"/>
    </row>
    <row r="242" spans="1:20" ht="16.5" customHeight="1">
      <c r="A242" s="71">
        <f>E238</f>
        <v>8</v>
      </c>
      <c r="B242" s="72"/>
      <c r="C242" s="72"/>
      <c r="D242" s="72"/>
      <c r="E242" s="88"/>
      <c r="F242" s="72">
        <v>4.5</v>
      </c>
      <c r="G242" s="72"/>
      <c r="H242" s="72"/>
      <c r="I242" s="72"/>
      <c r="J242" s="88"/>
      <c r="K242" s="72" t="s">
        <v>132</v>
      </c>
      <c r="L242" s="72"/>
      <c r="M242" s="72"/>
      <c r="N242" s="72"/>
      <c r="O242" s="88"/>
      <c r="P242" s="89"/>
      <c r="Q242" s="72"/>
      <c r="R242" s="72"/>
      <c r="S242" s="72"/>
      <c r="T242" s="88"/>
    </row>
    <row r="243" ht="16.5" customHeight="1"/>
    <row r="244" ht="16.5" customHeight="1">
      <c r="A244" s="7" t="s">
        <v>175</v>
      </c>
    </row>
    <row r="245" spans="1:20" ht="16.5" customHeight="1">
      <c r="A245" s="31" t="s">
        <v>106</v>
      </c>
      <c r="B245" s="109"/>
      <c r="C245" s="32" t="s">
        <v>47</v>
      </c>
      <c r="D245" s="109"/>
      <c r="E245" s="32" t="s">
        <v>176</v>
      </c>
      <c r="F245" s="109"/>
      <c r="G245" s="32" t="s">
        <v>66</v>
      </c>
      <c r="H245" s="109"/>
      <c r="I245" s="86" t="s">
        <v>108</v>
      </c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7"/>
    </row>
    <row r="246" spans="1:20" ht="16.5" customHeight="1">
      <c r="A246" s="71"/>
      <c r="B246" s="88"/>
      <c r="C246" s="72" t="s">
        <v>109</v>
      </c>
      <c r="D246" s="88"/>
      <c r="E246" s="72" t="s">
        <v>110</v>
      </c>
      <c r="F246" s="88"/>
      <c r="G246" s="72" t="s">
        <v>109</v>
      </c>
      <c r="H246" s="88"/>
      <c r="I246" s="72" t="s">
        <v>111</v>
      </c>
      <c r="J246" s="88"/>
      <c r="K246" s="72" t="s">
        <v>67</v>
      </c>
      <c r="L246" s="88"/>
      <c r="M246" s="72" t="s">
        <v>112</v>
      </c>
      <c r="N246" s="88"/>
      <c r="O246" s="72" t="s">
        <v>113</v>
      </c>
      <c r="P246" s="88"/>
      <c r="Q246" s="85" t="s">
        <v>114</v>
      </c>
      <c r="R246" s="87"/>
      <c r="S246" s="72" t="s">
        <v>177</v>
      </c>
      <c r="T246" s="88"/>
    </row>
    <row r="247" spans="1:20" ht="16.5" customHeight="1">
      <c r="A247" s="71">
        <v>1</v>
      </c>
      <c r="B247" s="110" t="s">
        <v>97</v>
      </c>
      <c r="C247" s="90">
        <v>57.7</v>
      </c>
      <c r="D247" s="88"/>
      <c r="E247" s="72">
        <f>E238</f>
        <v>8</v>
      </c>
      <c r="F247" s="88"/>
      <c r="G247" s="90">
        <f>G238</f>
        <v>46.45</v>
      </c>
      <c r="H247" s="88"/>
      <c r="I247" s="94">
        <v>288</v>
      </c>
      <c r="J247" s="88"/>
      <c r="K247" s="94">
        <v>166</v>
      </c>
      <c r="L247" s="88"/>
      <c r="M247" s="94">
        <v>850</v>
      </c>
      <c r="N247" s="88"/>
      <c r="O247" s="94">
        <v>1024</v>
      </c>
      <c r="P247" s="88"/>
      <c r="Q247" s="129">
        <v>0.87</v>
      </c>
      <c r="R247" s="87"/>
      <c r="S247" s="94">
        <v>2331</v>
      </c>
      <c r="T247" s="88"/>
    </row>
    <row r="248" spans="1:2" ht="23.25" customHeight="1">
      <c r="A248" s="7" t="s">
        <v>178</v>
      </c>
      <c r="B248" s="65"/>
    </row>
    <row r="249" spans="1:20" ht="17.25" customHeight="1">
      <c r="A249" s="31"/>
      <c r="B249" s="32"/>
      <c r="C249" s="109"/>
      <c r="D249" s="32" t="s">
        <v>77</v>
      </c>
      <c r="E249" s="109"/>
      <c r="F249" s="32" t="s">
        <v>66</v>
      </c>
      <c r="G249" s="109"/>
      <c r="H249" s="32" t="s">
        <v>176</v>
      </c>
      <c r="I249" s="109"/>
      <c r="J249" s="32" t="s">
        <v>179</v>
      </c>
      <c r="K249" s="109"/>
      <c r="L249" s="130" t="s">
        <v>180</v>
      </c>
      <c r="M249" s="86"/>
      <c r="N249" s="86"/>
      <c r="O249" s="86"/>
      <c r="P249" s="86"/>
      <c r="Q249" s="86"/>
      <c r="R249" s="86"/>
      <c r="S249" s="86"/>
      <c r="T249" s="87"/>
    </row>
    <row r="250" spans="1:20" ht="17.25" customHeight="1">
      <c r="A250" s="71" t="s">
        <v>106</v>
      </c>
      <c r="B250" s="72"/>
      <c r="C250" s="88"/>
      <c r="D250" s="72" t="s">
        <v>109</v>
      </c>
      <c r="E250" s="88"/>
      <c r="F250" s="72" t="s">
        <v>109</v>
      </c>
      <c r="G250" s="88"/>
      <c r="H250" s="72" t="s">
        <v>181</v>
      </c>
      <c r="I250" s="88"/>
      <c r="J250" s="72" t="s">
        <v>109</v>
      </c>
      <c r="K250" s="88"/>
      <c r="L250" s="71" t="s">
        <v>182</v>
      </c>
      <c r="M250" s="72"/>
      <c r="N250" s="88"/>
      <c r="O250" s="71" t="s">
        <v>183</v>
      </c>
      <c r="P250" s="72"/>
      <c r="Q250" s="88"/>
      <c r="R250" s="71" t="s">
        <v>184</v>
      </c>
      <c r="S250" s="72"/>
      <c r="T250" s="88"/>
    </row>
    <row r="251" spans="1:20" ht="17.25" customHeight="1">
      <c r="A251" s="31"/>
      <c r="B251" s="51"/>
      <c r="C251" s="112"/>
      <c r="D251" s="31"/>
      <c r="E251" s="109"/>
      <c r="F251" s="31"/>
      <c r="G251" s="109"/>
      <c r="H251" s="31"/>
      <c r="I251" s="109"/>
      <c r="J251" s="31"/>
      <c r="K251" s="109"/>
      <c r="L251" s="85" t="s">
        <v>185</v>
      </c>
      <c r="M251" s="86"/>
      <c r="N251" s="87"/>
      <c r="O251" s="86">
        <v>143</v>
      </c>
      <c r="P251" s="86"/>
      <c r="Q251" s="87"/>
      <c r="R251" s="86">
        <v>232</v>
      </c>
      <c r="S251" s="86"/>
      <c r="T251" s="87"/>
    </row>
    <row r="252" spans="1:20" ht="17.25" customHeight="1">
      <c r="A252" s="66" t="s">
        <v>186</v>
      </c>
      <c r="B252" s="51"/>
      <c r="C252" s="112"/>
      <c r="D252" s="131"/>
      <c r="E252" s="112"/>
      <c r="F252" s="66"/>
      <c r="G252" s="112"/>
      <c r="H252" s="66"/>
      <c r="I252" s="112"/>
      <c r="J252" s="66"/>
      <c r="K252" s="112"/>
      <c r="L252" s="85" t="s">
        <v>187</v>
      </c>
      <c r="M252" s="86"/>
      <c r="N252" s="87"/>
      <c r="O252" s="86">
        <v>144</v>
      </c>
      <c r="P252" s="86"/>
      <c r="Q252" s="87"/>
      <c r="R252" s="86">
        <v>233</v>
      </c>
      <c r="S252" s="86"/>
      <c r="T252" s="87"/>
    </row>
    <row r="253" spans="1:20" ht="17.25" customHeight="1">
      <c r="A253" s="66" t="s">
        <v>188</v>
      </c>
      <c r="B253" s="51"/>
      <c r="C253" s="112"/>
      <c r="D253" s="132">
        <f>C247</f>
        <v>57.7</v>
      </c>
      <c r="E253" s="112"/>
      <c r="F253" s="132">
        <f>G247</f>
        <v>46.45</v>
      </c>
      <c r="G253" s="112"/>
      <c r="H253" s="66">
        <v>8.5</v>
      </c>
      <c r="I253" s="112"/>
      <c r="J253" s="66">
        <v>4.4</v>
      </c>
      <c r="K253" s="112"/>
      <c r="L253" s="85" t="s">
        <v>189</v>
      </c>
      <c r="M253" s="86"/>
      <c r="N253" s="87"/>
      <c r="O253" s="86">
        <v>146</v>
      </c>
      <c r="P253" s="86"/>
      <c r="Q253" s="87"/>
      <c r="R253" s="86">
        <v>229</v>
      </c>
      <c r="S253" s="86"/>
      <c r="T253" s="87"/>
    </row>
    <row r="254" spans="1:20" ht="17.25" customHeight="1">
      <c r="A254" s="71"/>
      <c r="B254" s="72"/>
      <c r="C254" s="88"/>
      <c r="D254" s="71"/>
      <c r="E254" s="88"/>
      <c r="F254" s="71"/>
      <c r="G254" s="88"/>
      <c r="H254" s="71"/>
      <c r="I254" s="88"/>
      <c r="J254" s="71"/>
      <c r="K254" s="88"/>
      <c r="L254" s="85" t="s">
        <v>190</v>
      </c>
      <c r="M254" s="86"/>
      <c r="N254" s="87"/>
      <c r="O254" s="133">
        <f>AVERAGE(O251:O253)</f>
        <v>144.33333333333334</v>
      </c>
      <c r="P254" s="86"/>
      <c r="Q254" s="87"/>
      <c r="R254" s="133">
        <f>AVERAGE(R251:R253)</f>
        <v>231.33333333333334</v>
      </c>
      <c r="S254" s="86"/>
      <c r="T254" s="87"/>
    </row>
    <row r="255" spans="1:20" ht="17.25" customHeight="1">
      <c r="A255" s="31"/>
      <c r="B255" s="51"/>
      <c r="C255" s="112"/>
      <c r="D255" s="31"/>
      <c r="E255" s="109"/>
      <c r="F255" s="31"/>
      <c r="G255" s="109"/>
      <c r="H255" s="31"/>
      <c r="I255" s="109"/>
      <c r="J255" s="31"/>
      <c r="K255" s="109"/>
      <c r="L255" s="85" t="s">
        <v>185</v>
      </c>
      <c r="M255" s="86"/>
      <c r="N255" s="87"/>
      <c r="O255" s="86">
        <v>146</v>
      </c>
      <c r="P255" s="86"/>
      <c r="Q255" s="87"/>
      <c r="R255" s="86">
        <v>228</v>
      </c>
      <c r="S255" s="86"/>
      <c r="T255" s="87"/>
    </row>
    <row r="256" spans="1:20" ht="17.25" customHeight="1">
      <c r="A256" s="134" t="s">
        <v>191</v>
      </c>
      <c r="B256" s="51"/>
      <c r="C256" s="112"/>
      <c r="D256" s="131"/>
      <c r="E256" s="112"/>
      <c r="F256" s="66"/>
      <c r="G256" s="112"/>
      <c r="H256" s="66"/>
      <c r="I256" s="112"/>
      <c r="J256" s="66"/>
      <c r="K256" s="112"/>
      <c r="L256" s="85" t="s">
        <v>187</v>
      </c>
      <c r="M256" s="86"/>
      <c r="N256" s="87"/>
      <c r="O256" s="86">
        <v>147</v>
      </c>
      <c r="P256" s="86"/>
      <c r="Q256" s="87"/>
      <c r="R256" s="86">
        <v>231</v>
      </c>
      <c r="S256" s="86"/>
      <c r="T256" s="87"/>
    </row>
    <row r="257" spans="1:20" ht="17.25" customHeight="1">
      <c r="A257" s="66" t="s">
        <v>188</v>
      </c>
      <c r="B257" s="51"/>
      <c r="C257" s="112"/>
      <c r="D257" s="132">
        <f>C247</f>
        <v>57.7</v>
      </c>
      <c r="E257" s="112"/>
      <c r="F257" s="132">
        <f>G247</f>
        <v>46.45</v>
      </c>
      <c r="G257" s="112"/>
      <c r="H257" s="66">
        <v>8</v>
      </c>
      <c r="I257" s="112"/>
      <c r="J257" s="66">
        <v>4.5</v>
      </c>
      <c r="K257" s="112"/>
      <c r="L257" s="85" t="s">
        <v>189</v>
      </c>
      <c r="M257" s="86"/>
      <c r="N257" s="87"/>
      <c r="O257" s="86">
        <v>149</v>
      </c>
      <c r="P257" s="86"/>
      <c r="Q257" s="87"/>
      <c r="R257" s="86">
        <v>230</v>
      </c>
      <c r="S257" s="86"/>
      <c r="T257" s="87"/>
    </row>
    <row r="258" spans="1:20" ht="17.25" customHeight="1">
      <c r="A258" s="71"/>
      <c r="B258" s="72"/>
      <c r="C258" s="88"/>
      <c r="D258" s="71"/>
      <c r="E258" s="88"/>
      <c r="F258" s="71"/>
      <c r="G258" s="88"/>
      <c r="H258" s="71"/>
      <c r="I258" s="88"/>
      <c r="J258" s="71"/>
      <c r="K258" s="88"/>
      <c r="L258" s="85" t="s">
        <v>190</v>
      </c>
      <c r="M258" s="86"/>
      <c r="N258" s="87"/>
      <c r="O258" s="133">
        <f>AVERAGE(O255:O257)</f>
        <v>147.33333333333334</v>
      </c>
      <c r="P258" s="86"/>
      <c r="Q258" s="87"/>
      <c r="R258" s="133">
        <f>AVERAGE(R255:R257)</f>
        <v>229.66666666666666</v>
      </c>
      <c r="S258" s="86"/>
      <c r="T258" s="87"/>
    </row>
    <row r="259" spans="1:20" ht="17.25" customHeight="1">
      <c r="A259" s="31"/>
      <c r="B259" s="51"/>
      <c r="C259" s="112"/>
      <c r="D259" s="31"/>
      <c r="E259" s="109"/>
      <c r="F259" s="31"/>
      <c r="G259" s="109"/>
      <c r="H259" s="31"/>
      <c r="I259" s="109"/>
      <c r="J259" s="31"/>
      <c r="K259" s="109"/>
      <c r="L259" s="85" t="s">
        <v>185</v>
      </c>
      <c r="M259" s="86"/>
      <c r="N259" s="87"/>
      <c r="O259" s="86">
        <v>152</v>
      </c>
      <c r="P259" s="86"/>
      <c r="Q259" s="87"/>
      <c r="R259" s="86">
        <v>234</v>
      </c>
      <c r="S259" s="86"/>
      <c r="T259" s="87"/>
    </row>
    <row r="260" spans="1:20" ht="17.25" customHeight="1">
      <c r="A260" s="134" t="s">
        <v>192</v>
      </c>
      <c r="B260" s="51"/>
      <c r="C260" s="112"/>
      <c r="D260" s="131"/>
      <c r="E260" s="112"/>
      <c r="F260" s="66"/>
      <c r="G260" s="112"/>
      <c r="H260" s="66"/>
      <c r="I260" s="112"/>
      <c r="J260" s="66"/>
      <c r="K260" s="112"/>
      <c r="L260" s="85" t="s">
        <v>187</v>
      </c>
      <c r="M260" s="86"/>
      <c r="N260" s="87"/>
      <c r="O260" s="86">
        <v>149</v>
      </c>
      <c r="P260" s="86"/>
      <c r="Q260" s="87"/>
      <c r="R260" s="86">
        <v>236</v>
      </c>
      <c r="S260" s="86"/>
      <c r="T260" s="87"/>
    </row>
    <row r="261" spans="1:20" ht="17.25" customHeight="1">
      <c r="A261" s="66" t="s">
        <v>188</v>
      </c>
      <c r="B261" s="51"/>
      <c r="C261" s="112"/>
      <c r="D261" s="132">
        <f>C247</f>
        <v>57.7</v>
      </c>
      <c r="E261" s="112"/>
      <c r="F261" s="132">
        <f>G247</f>
        <v>46.45</v>
      </c>
      <c r="G261" s="112"/>
      <c r="H261" s="66">
        <v>8.5</v>
      </c>
      <c r="I261" s="112"/>
      <c r="J261" s="66">
        <v>4.6</v>
      </c>
      <c r="K261" s="112"/>
      <c r="L261" s="85" t="s">
        <v>189</v>
      </c>
      <c r="M261" s="86"/>
      <c r="N261" s="87"/>
      <c r="O261" s="86">
        <v>150</v>
      </c>
      <c r="P261" s="86"/>
      <c r="Q261" s="87"/>
      <c r="R261" s="86">
        <v>235</v>
      </c>
      <c r="S261" s="86"/>
      <c r="T261" s="87"/>
    </row>
    <row r="262" spans="1:20" ht="17.25" customHeight="1">
      <c r="A262" s="71"/>
      <c r="B262" s="72"/>
      <c r="C262" s="88"/>
      <c r="D262" s="71"/>
      <c r="E262" s="88"/>
      <c r="F262" s="71"/>
      <c r="G262" s="88"/>
      <c r="H262" s="71"/>
      <c r="I262" s="88"/>
      <c r="J262" s="71"/>
      <c r="K262" s="88"/>
      <c r="L262" s="85" t="s">
        <v>193</v>
      </c>
      <c r="M262" s="86"/>
      <c r="N262" s="87"/>
      <c r="O262" s="133">
        <f>AVERAGE(O259:O261)</f>
        <v>150.33333333333334</v>
      </c>
      <c r="P262" s="86"/>
      <c r="Q262" s="87"/>
      <c r="R262" s="133">
        <f>AVERAGE(R259:R261)</f>
        <v>235</v>
      </c>
      <c r="S262" s="86"/>
      <c r="T262" s="87"/>
    </row>
    <row r="263" spans="1:20" ht="12">
      <c r="A263" s="31"/>
      <c r="B263" s="32"/>
      <c r="C263" s="109"/>
      <c r="D263" s="31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109"/>
    </row>
    <row r="264" spans="1:20" ht="12">
      <c r="A264" s="66"/>
      <c r="B264" s="51"/>
      <c r="C264" s="112"/>
      <c r="D264" s="66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112"/>
    </row>
    <row r="265" spans="1:20" ht="12">
      <c r="A265" s="66" t="s">
        <v>194</v>
      </c>
      <c r="B265" s="51"/>
      <c r="C265" s="112"/>
      <c r="D265" s="13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112"/>
    </row>
    <row r="266" spans="1:20" ht="12">
      <c r="A266" s="71"/>
      <c r="B266" s="72"/>
      <c r="C266" s="88"/>
      <c r="D266" s="71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88"/>
    </row>
    <row r="267" ht="12">
      <c r="D267" s="65"/>
    </row>
  </sheetData>
  <printOptions horizontalCentered="1"/>
  <pageMargins left="0.15748031496062992" right="0.15748031496062992" top="1.141732283464567" bottom="0.984251968503937" header="0.5118110236220472" footer="0.7086614173228347"/>
  <pageSetup horizontalDpi="600" verticalDpi="600" orientation="portrait" paperSize="9" scale="84" r:id="rId2"/>
  <headerFooter alignWithMargins="0">
    <oddHeader>&amp;C&amp;A</oddHeader>
    <oddFooter>&amp;C&amp;P 쪽</oddFooter>
  </headerFooter>
  <rowBreaks count="6" manualBreakCount="6">
    <brk id="21" max="20" man="1"/>
    <brk id="63" max="20" man="1"/>
    <brk id="99" max="20" man="1"/>
    <brk id="134" max="20" man="1"/>
    <brk id="175" max="20" man="1"/>
    <brk id="218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3"/>
  <sheetViews>
    <sheetView view="pageBreakPreview" zoomScaleNormal="80" zoomScaleSheetLayoutView="100" workbookViewId="0" topLeftCell="A1">
      <selection activeCell="Q2" sqref="Q2"/>
    </sheetView>
  </sheetViews>
  <sheetFormatPr defaultColWidth="8.88671875" defaultRowHeight="13.5"/>
  <cols>
    <col min="1" max="4" width="3.4453125" style="7" customWidth="1"/>
    <col min="5" max="5" width="3.6640625" style="7" customWidth="1"/>
    <col min="6" max="7" width="3.4453125" style="7" customWidth="1"/>
    <col min="8" max="8" width="3.99609375" style="7" customWidth="1"/>
    <col min="9" max="9" width="4.3359375" style="7" customWidth="1"/>
    <col min="10" max="10" width="3.5546875" style="7" customWidth="1"/>
    <col min="11" max="11" width="3.4453125" style="7" customWidth="1"/>
    <col min="12" max="12" width="3.6640625" style="7" customWidth="1"/>
    <col min="13" max="13" width="3.5546875" style="7" customWidth="1"/>
    <col min="14" max="14" width="3.6640625" style="7" customWidth="1"/>
    <col min="15" max="15" width="3.77734375" style="7" customWidth="1"/>
    <col min="16" max="16" width="3.4453125" style="7" customWidth="1"/>
    <col min="17" max="18" width="3.99609375" style="7" customWidth="1"/>
    <col min="19" max="19" width="4.21484375" style="7" customWidth="1"/>
    <col min="20" max="20" width="3.99609375" style="7" customWidth="1"/>
    <col min="21" max="21" width="3.4453125" style="7" customWidth="1"/>
    <col min="22" max="22" width="5.10546875" style="7" customWidth="1"/>
    <col min="23" max="25" width="4.21484375" style="7" customWidth="1"/>
    <col min="26" max="16384" width="7.10546875" style="7" customWidth="1"/>
  </cols>
  <sheetData>
    <row r="1" spans="1:20" s="6" customFormat="1" ht="47.2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5"/>
    </row>
    <row r="2" spans="1:20" s="11" customFormat="1" ht="27" customHeight="1">
      <c r="A2" s="8" t="s">
        <v>1</v>
      </c>
      <c r="F2" s="9">
        <v>25</v>
      </c>
      <c r="G2" s="12" t="s">
        <v>2</v>
      </c>
      <c r="H2" s="9">
        <v>210</v>
      </c>
      <c r="I2" s="12" t="s">
        <v>2</v>
      </c>
      <c r="J2" s="10">
        <v>8</v>
      </c>
      <c r="K2" s="11" t="s">
        <v>3</v>
      </c>
      <c r="O2" s="13"/>
      <c r="P2" s="13"/>
      <c r="Q2" s="14"/>
      <c r="R2" s="13"/>
      <c r="S2" s="13"/>
      <c r="T2" s="13"/>
    </row>
    <row r="3" spans="1:20" s="19" customFormat="1" ht="13.5" customHeight="1">
      <c r="A3" s="15"/>
      <c r="B3" s="16"/>
      <c r="C3" s="16"/>
      <c r="D3" s="16"/>
      <c r="E3" s="16"/>
      <c r="F3" s="17"/>
      <c r="G3" s="17"/>
      <c r="H3" s="17"/>
      <c r="I3" s="17"/>
      <c r="J3" s="18"/>
      <c r="K3" s="16"/>
      <c r="O3" s="20"/>
      <c r="P3" s="20"/>
      <c r="Q3" s="21"/>
      <c r="R3" s="20"/>
      <c r="S3" s="20"/>
      <c r="T3" s="20"/>
    </row>
    <row r="4" spans="1:20" ht="29.25" customHeight="1">
      <c r="A4" s="22" t="s">
        <v>4</v>
      </c>
      <c r="B4" s="23"/>
      <c r="C4" s="23"/>
      <c r="D4" s="23"/>
      <c r="E4" s="23"/>
      <c r="F4" s="24"/>
      <c r="G4" s="23">
        <f>H2</f>
        <v>210</v>
      </c>
      <c r="H4" s="23"/>
      <c r="I4" s="23" t="s">
        <v>5</v>
      </c>
      <c r="J4" s="24"/>
      <c r="K4" s="25" t="s">
        <v>6</v>
      </c>
      <c r="L4" s="23"/>
      <c r="M4" s="23"/>
      <c r="N4" s="23"/>
      <c r="O4" s="23"/>
      <c r="P4" s="24"/>
      <c r="Q4" s="23">
        <f>F2</f>
        <v>25</v>
      </c>
      <c r="R4" s="23"/>
      <c r="S4" s="23" t="s">
        <v>7</v>
      </c>
      <c r="T4" s="24"/>
    </row>
    <row r="5" spans="1:20" ht="29.25" customHeight="1">
      <c r="A5" s="25" t="s">
        <v>8</v>
      </c>
      <c r="B5" s="23"/>
      <c r="C5" s="23"/>
      <c r="D5" s="23"/>
      <c r="E5" s="23"/>
      <c r="F5" s="24"/>
      <c r="G5" s="26">
        <f>J2</f>
        <v>8</v>
      </c>
      <c r="H5" s="23"/>
      <c r="I5" s="23" t="s">
        <v>9</v>
      </c>
      <c r="J5" s="24"/>
      <c r="K5" s="25" t="s">
        <v>10</v>
      </c>
      <c r="L5" s="23"/>
      <c r="M5" s="23"/>
      <c r="N5" s="23"/>
      <c r="O5" s="23"/>
      <c r="P5" s="24"/>
      <c r="Q5" s="23">
        <v>4.5</v>
      </c>
      <c r="R5" s="23"/>
      <c r="S5" s="23" t="s">
        <v>11</v>
      </c>
      <c r="T5" s="24"/>
    </row>
    <row r="6" spans="1:20" ht="29.25" customHeight="1">
      <c r="A6" s="22" t="s">
        <v>12</v>
      </c>
      <c r="B6" s="23"/>
      <c r="C6" s="23"/>
      <c r="D6" s="23"/>
      <c r="E6" s="23"/>
      <c r="F6" s="24"/>
      <c r="G6" s="28">
        <v>26.8</v>
      </c>
      <c r="H6" s="23"/>
      <c r="I6" s="23" t="s">
        <v>5</v>
      </c>
      <c r="J6" s="24"/>
      <c r="K6" s="25" t="s">
        <v>13</v>
      </c>
      <c r="L6" s="23"/>
      <c r="M6" s="23"/>
      <c r="N6" s="23"/>
      <c r="O6" s="23"/>
      <c r="P6" s="24"/>
      <c r="Q6" s="23">
        <f>ROUND((G6/J19)*100,2)</f>
        <v>10.35</v>
      </c>
      <c r="R6" s="23"/>
      <c r="S6" s="23" t="s">
        <v>11</v>
      </c>
      <c r="T6" s="24"/>
    </row>
    <row r="7" spans="1:20" ht="29.25" customHeight="1">
      <c r="A7" s="22" t="s">
        <v>14</v>
      </c>
      <c r="B7" s="23"/>
      <c r="C7" s="23"/>
      <c r="D7" s="23"/>
      <c r="E7" s="23"/>
      <c r="F7" s="24"/>
      <c r="G7" s="27">
        <f>ROUND(J19/G4,2)</f>
        <v>1.23</v>
      </c>
      <c r="H7" s="23"/>
      <c r="I7" s="23"/>
      <c r="J7" s="24"/>
      <c r="K7" s="25" t="s">
        <v>15</v>
      </c>
      <c r="L7" s="23"/>
      <c r="M7" s="23"/>
      <c r="N7" s="23"/>
      <c r="O7" s="23"/>
      <c r="P7" s="24"/>
      <c r="Q7" s="23">
        <v>1.5</v>
      </c>
      <c r="R7" s="23"/>
      <c r="S7" s="23" t="s">
        <v>11</v>
      </c>
      <c r="T7" s="24"/>
    </row>
    <row r="8" spans="1:20" ht="29.25" customHeight="1">
      <c r="A8" s="25" t="s">
        <v>16</v>
      </c>
      <c r="B8" s="23"/>
      <c r="C8" s="23"/>
      <c r="D8" s="23"/>
      <c r="E8" s="23"/>
      <c r="F8" s="24"/>
      <c r="G8" s="27">
        <v>2.58</v>
      </c>
      <c r="H8" s="23"/>
      <c r="I8" s="23"/>
      <c r="J8" s="24"/>
      <c r="K8" s="22" t="s">
        <v>17</v>
      </c>
      <c r="L8" s="23"/>
      <c r="M8" s="23"/>
      <c r="N8" s="23"/>
      <c r="O8" s="23"/>
      <c r="P8" s="24"/>
      <c r="Q8" s="23">
        <v>0.8</v>
      </c>
      <c r="R8" s="23"/>
      <c r="S8" s="23" t="s">
        <v>11</v>
      </c>
      <c r="T8" s="24"/>
    </row>
    <row r="9" spans="1:20" ht="29.25" customHeight="1">
      <c r="A9" s="25" t="s">
        <v>18</v>
      </c>
      <c r="B9" s="23"/>
      <c r="C9" s="23"/>
      <c r="D9" s="23"/>
      <c r="E9" s="23"/>
      <c r="F9" s="24"/>
      <c r="G9" s="27">
        <v>2.7</v>
      </c>
      <c r="H9" s="23"/>
      <c r="I9" s="23"/>
      <c r="J9" s="24"/>
      <c r="K9" s="25" t="s">
        <v>19</v>
      </c>
      <c r="L9" s="23"/>
      <c r="M9" s="23"/>
      <c r="N9" s="23"/>
      <c r="O9" s="23"/>
      <c r="P9" s="24"/>
      <c r="Q9" s="23">
        <v>3.05</v>
      </c>
      <c r="R9" s="23"/>
      <c r="S9" s="23"/>
      <c r="T9" s="24"/>
    </row>
    <row r="10" spans="1:20" ht="29.25" customHeight="1">
      <c r="A10" s="25" t="s">
        <v>20</v>
      </c>
      <c r="B10" s="23"/>
      <c r="C10" s="23"/>
      <c r="D10" s="23"/>
      <c r="E10" s="23"/>
      <c r="F10" s="24"/>
      <c r="G10" s="28">
        <v>2.8</v>
      </c>
      <c r="H10" s="23"/>
      <c r="I10" s="23"/>
      <c r="J10" s="24"/>
      <c r="K10" s="22" t="s">
        <v>21</v>
      </c>
      <c r="L10" s="23"/>
      <c r="M10" s="23"/>
      <c r="N10" s="23"/>
      <c r="O10" s="23"/>
      <c r="P10" s="24"/>
      <c r="Q10" s="23" t="s">
        <v>22</v>
      </c>
      <c r="R10" s="23"/>
      <c r="S10" s="23"/>
      <c r="T10" s="24"/>
    </row>
    <row r="11" spans="1:20" ht="42.75" customHeight="1">
      <c r="A11" s="21"/>
      <c r="B11" s="21"/>
      <c r="C11" s="21"/>
      <c r="D11" s="21"/>
      <c r="E11" s="21"/>
      <c r="F11" s="21"/>
      <c r="G11" s="20"/>
      <c r="H11" s="20"/>
      <c r="I11" s="21"/>
      <c r="J11" s="21"/>
      <c r="K11" s="29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9" customFormat="1" ht="35.25" customHeight="1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30"/>
      <c r="L12" s="20"/>
      <c r="M12" s="20"/>
      <c r="N12" s="20"/>
      <c r="O12" s="20"/>
      <c r="P12" s="20"/>
      <c r="Q12" s="20"/>
      <c r="R12" s="20"/>
      <c r="S12" s="20"/>
      <c r="T12" s="20"/>
    </row>
    <row r="13" spans="1:21" ht="44.25" customHeight="1">
      <c r="A13" s="31" t="s">
        <v>24</v>
      </c>
      <c r="B13" s="32"/>
      <c r="C13" s="32"/>
      <c r="D13" s="33" t="s">
        <v>25</v>
      </c>
      <c r="E13" s="34"/>
      <c r="F13" s="34"/>
      <c r="G13" s="34"/>
      <c r="H13" s="34"/>
      <c r="I13" s="34"/>
      <c r="J13" s="34"/>
      <c r="K13" s="32"/>
      <c r="L13" s="34"/>
      <c r="M13" s="34"/>
      <c r="N13" s="35"/>
      <c r="O13" s="33"/>
      <c r="P13" s="36"/>
      <c r="Q13" s="37"/>
      <c r="R13" s="38"/>
      <c r="S13" s="38"/>
      <c r="T13" s="39"/>
      <c r="U13" s="40"/>
    </row>
    <row r="14" spans="1:20" s="19" customFormat="1" ht="26.25" customHeight="1">
      <c r="A14" s="41"/>
      <c r="B14" s="21"/>
      <c r="C14" s="21"/>
      <c r="D14" s="42"/>
      <c r="E14" s="20"/>
      <c r="F14" s="20"/>
      <c r="G14" s="20"/>
      <c r="H14" s="21"/>
      <c r="I14" s="20"/>
      <c r="J14" s="21" t="s">
        <v>26</v>
      </c>
      <c r="K14" s="20">
        <f>G4</f>
        <v>210</v>
      </c>
      <c r="L14" s="20" t="s">
        <v>27</v>
      </c>
      <c r="M14" s="135">
        <v>1.64</v>
      </c>
      <c r="N14" s="44" t="s">
        <v>28</v>
      </c>
      <c r="O14" s="45">
        <f>G6</f>
        <v>26.8</v>
      </c>
      <c r="P14" s="46" t="s">
        <v>29</v>
      </c>
      <c r="Q14" s="20">
        <f>ROUND(K14+M14*O14,0)</f>
        <v>254</v>
      </c>
      <c r="R14" s="20"/>
      <c r="S14" s="20"/>
      <c r="T14" s="47"/>
    </row>
    <row r="15" spans="1:21" ht="47.25" customHeight="1">
      <c r="A15" s="48" t="s">
        <v>30</v>
      </c>
      <c r="B15" s="49"/>
      <c r="C15" s="49"/>
      <c r="D15" s="50" t="s">
        <v>31</v>
      </c>
      <c r="E15" s="49"/>
      <c r="F15" s="49"/>
      <c r="G15" s="49"/>
      <c r="H15" s="49"/>
      <c r="I15" s="49"/>
      <c r="J15" s="49"/>
      <c r="K15" s="51"/>
      <c r="L15" s="52"/>
      <c r="M15" s="49"/>
      <c r="N15" s="49"/>
      <c r="O15" s="52"/>
      <c r="P15" s="52"/>
      <c r="Q15" s="53"/>
      <c r="R15" s="54"/>
      <c r="S15" s="55"/>
      <c r="T15" s="56"/>
      <c r="U15" s="40"/>
    </row>
    <row r="16" spans="1:20" s="19" customFormat="1" ht="27.75" customHeight="1">
      <c r="A16" s="57"/>
      <c r="B16" s="20"/>
      <c r="C16" s="20"/>
      <c r="D16" s="42"/>
      <c r="E16" s="20"/>
      <c r="F16" s="20"/>
      <c r="G16" s="20"/>
      <c r="H16" s="20"/>
      <c r="I16" s="20"/>
      <c r="J16" s="21" t="s">
        <v>26</v>
      </c>
      <c r="K16" s="46">
        <v>0.85</v>
      </c>
      <c r="L16" s="58" t="s">
        <v>28</v>
      </c>
      <c r="M16" s="20">
        <f>K14</f>
        <v>210</v>
      </c>
      <c r="N16" s="46" t="s">
        <v>27</v>
      </c>
      <c r="O16" s="46">
        <v>3</v>
      </c>
      <c r="P16" s="59" t="s">
        <v>28</v>
      </c>
      <c r="Q16" s="60">
        <f>O14</f>
        <v>26.8</v>
      </c>
      <c r="R16" s="61" t="s">
        <v>32</v>
      </c>
      <c r="S16" s="46">
        <f>ROUND(K16*M16+O16*Q16,0)</f>
        <v>259</v>
      </c>
      <c r="T16" s="62"/>
    </row>
    <row r="17" spans="1:21" ht="40.5" customHeight="1">
      <c r="A17" s="48" t="s">
        <v>33</v>
      </c>
      <c r="B17" s="49"/>
      <c r="C17" s="51" t="s">
        <v>34</v>
      </c>
      <c r="D17" s="49" t="s">
        <v>35</v>
      </c>
      <c r="E17" s="49"/>
      <c r="F17" s="49"/>
      <c r="G17" s="49"/>
      <c r="H17" s="49"/>
      <c r="I17" s="49"/>
      <c r="J17" s="49"/>
      <c r="K17" s="63"/>
      <c r="L17" s="49"/>
      <c r="M17" s="49"/>
      <c r="N17" s="49"/>
      <c r="O17" s="49"/>
      <c r="P17" s="49"/>
      <c r="Q17" s="49"/>
      <c r="R17" s="49"/>
      <c r="S17" s="49"/>
      <c r="T17" s="64"/>
      <c r="U17" s="40"/>
    </row>
    <row r="18" spans="1:21" ht="27.75" customHeight="1">
      <c r="A18" s="48" t="s">
        <v>36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49"/>
      <c r="O18" s="49"/>
      <c r="P18" s="49"/>
      <c r="Q18" s="49"/>
      <c r="R18" s="49"/>
      <c r="S18" s="49"/>
      <c r="T18" s="64"/>
      <c r="U18" s="40"/>
    </row>
    <row r="19" spans="1:20" ht="27.75" customHeight="1">
      <c r="A19" s="66" t="s">
        <v>37</v>
      </c>
      <c r="B19" s="51"/>
      <c r="C19" s="51"/>
      <c r="D19" s="51"/>
      <c r="E19" s="51"/>
      <c r="F19" s="51" t="s">
        <v>34</v>
      </c>
      <c r="G19" s="51" t="s">
        <v>38</v>
      </c>
      <c r="H19" s="51"/>
      <c r="I19" s="51" t="s">
        <v>26</v>
      </c>
      <c r="J19" s="67">
        <f>MAX(Q14,S16)</f>
        <v>259</v>
      </c>
      <c r="K19" s="68"/>
      <c r="L19" s="68" t="s">
        <v>39</v>
      </c>
      <c r="M19" s="69"/>
      <c r="N19" s="65"/>
      <c r="O19" s="65"/>
      <c r="P19" s="65"/>
      <c r="Q19" s="65"/>
      <c r="R19" s="65"/>
      <c r="S19" s="65"/>
      <c r="T19" s="70"/>
    </row>
    <row r="20" spans="1:20" ht="15" customHeight="1">
      <c r="A20" s="71"/>
      <c r="B20" s="72"/>
      <c r="C20" s="72"/>
      <c r="D20" s="72"/>
      <c r="E20" s="72"/>
      <c r="F20" s="72"/>
      <c r="G20" s="72"/>
      <c r="H20" s="72"/>
      <c r="I20" s="72"/>
      <c r="J20" s="73"/>
      <c r="K20" s="74"/>
      <c r="L20" s="74"/>
      <c r="M20" s="75"/>
      <c r="N20" s="76"/>
      <c r="O20" s="76"/>
      <c r="P20" s="76"/>
      <c r="Q20" s="76"/>
      <c r="R20" s="76"/>
      <c r="S20" s="76"/>
      <c r="T20" s="77"/>
    </row>
    <row r="21" ht="19.5" customHeight="1">
      <c r="A21" s="7" t="s">
        <v>40</v>
      </c>
    </row>
    <row r="22" ht="16.5" customHeight="1"/>
    <row r="23" ht="16.5" customHeight="1">
      <c r="A23" s="7" t="s">
        <v>41</v>
      </c>
    </row>
    <row r="24" spans="1:13" ht="16.5" customHeight="1">
      <c r="A24" s="7" t="s">
        <v>42</v>
      </c>
      <c r="B24" s="78" t="s">
        <v>43</v>
      </c>
      <c r="C24" s="78"/>
      <c r="D24" s="78" t="s">
        <v>26</v>
      </c>
      <c r="E24" s="78"/>
      <c r="F24" s="78">
        <v>-74</v>
      </c>
      <c r="G24" s="78"/>
      <c r="H24" s="78" t="s">
        <v>44</v>
      </c>
      <c r="I24" s="78"/>
      <c r="J24" s="78">
        <v>162</v>
      </c>
      <c r="L24" s="7" t="s">
        <v>45</v>
      </c>
      <c r="M24" s="7" t="s">
        <v>46</v>
      </c>
    </row>
    <row r="25" spans="2:12" ht="16.5" customHeight="1">
      <c r="B25" s="79">
        <f>J19</f>
        <v>259</v>
      </c>
      <c r="C25" s="78"/>
      <c r="D25" s="78" t="s">
        <v>26</v>
      </c>
      <c r="E25" s="78"/>
      <c r="F25" s="78">
        <v>-74</v>
      </c>
      <c r="G25" s="78"/>
      <c r="H25" s="78" t="s">
        <v>44</v>
      </c>
      <c r="I25" s="78"/>
      <c r="J25" s="78">
        <v>162</v>
      </c>
      <c r="L25" s="7" t="s">
        <v>45</v>
      </c>
    </row>
    <row r="26" spans="2:18" ht="16.5" customHeight="1">
      <c r="B26" s="78" t="s">
        <v>47</v>
      </c>
      <c r="C26" s="78"/>
      <c r="D26" s="78" t="s">
        <v>26</v>
      </c>
      <c r="E26" s="78"/>
      <c r="F26" s="78" t="s">
        <v>48</v>
      </c>
      <c r="G26" s="78">
        <f>J25</f>
        <v>162</v>
      </c>
      <c r="H26" s="80" t="s">
        <v>195</v>
      </c>
      <c r="I26" s="81">
        <v>74</v>
      </c>
      <c r="J26" s="79" t="s">
        <v>44</v>
      </c>
      <c r="K26" s="79">
        <f>J19</f>
        <v>259</v>
      </c>
      <c r="L26" s="78" t="s">
        <v>49</v>
      </c>
      <c r="M26" s="82" t="s">
        <v>196</v>
      </c>
      <c r="N26" s="78"/>
      <c r="O26" s="78" t="s">
        <v>26</v>
      </c>
      <c r="P26" s="83">
        <f>ROUND((G26/(I26+K26))*100,1)</f>
        <v>48.6</v>
      </c>
      <c r="Q26" s="78"/>
      <c r="R26" s="78" t="s">
        <v>11</v>
      </c>
    </row>
    <row r="27" spans="1:17" ht="20.25" customHeight="1">
      <c r="A27" s="84" t="s">
        <v>50</v>
      </c>
      <c r="P27" s="7">
        <v>60</v>
      </c>
      <c r="Q27" s="84" t="s">
        <v>51</v>
      </c>
    </row>
    <row r="28" spans="1:9" ht="20.25" customHeight="1">
      <c r="A28" s="7" t="s">
        <v>52</v>
      </c>
      <c r="H28" s="7">
        <v>55</v>
      </c>
      <c r="I28" s="84" t="s">
        <v>53</v>
      </c>
    </row>
    <row r="29" spans="1:10" ht="20.25" customHeight="1">
      <c r="A29" s="7" t="s">
        <v>54</v>
      </c>
      <c r="H29" s="7" t="s">
        <v>55</v>
      </c>
      <c r="J29" s="7" t="s">
        <v>56</v>
      </c>
    </row>
    <row r="30" spans="2:17" ht="16.5" customHeight="1">
      <c r="B30" s="7" t="s">
        <v>57</v>
      </c>
      <c r="C30" s="7" t="s">
        <v>58</v>
      </c>
      <c r="M30" s="7" t="s">
        <v>47</v>
      </c>
      <c r="N30" s="7" t="s">
        <v>26</v>
      </c>
      <c r="O30" s="83">
        <f>P26</f>
        <v>48.6</v>
      </c>
      <c r="P30" s="78"/>
      <c r="Q30" s="84" t="s">
        <v>59</v>
      </c>
    </row>
    <row r="31" ht="22.5" customHeight="1"/>
    <row r="32" ht="16.5" customHeight="1">
      <c r="A32" s="7" t="s">
        <v>60</v>
      </c>
    </row>
    <row r="33" spans="1:12" ht="16.5" customHeight="1">
      <c r="A33" s="7" t="s">
        <v>61</v>
      </c>
      <c r="B33" s="7" t="s">
        <v>47</v>
      </c>
      <c r="C33" s="7" t="s">
        <v>26</v>
      </c>
      <c r="D33" s="7">
        <v>55</v>
      </c>
      <c r="E33" s="7" t="s">
        <v>11</v>
      </c>
      <c r="F33" s="7" t="s">
        <v>62</v>
      </c>
      <c r="H33" s="7">
        <v>8</v>
      </c>
      <c r="I33" s="7" t="s">
        <v>63</v>
      </c>
      <c r="J33" s="7" t="s">
        <v>64</v>
      </c>
      <c r="L33" s="7">
        <v>2.8</v>
      </c>
    </row>
    <row r="34" spans="1:20" ht="16.5" customHeight="1">
      <c r="A34" s="85" t="s">
        <v>65</v>
      </c>
      <c r="B34" s="86"/>
      <c r="C34" s="86"/>
      <c r="D34" s="87"/>
      <c r="E34" s="86" t="s">
        <v>66</v>
      </c>
      <c r="F34" s="86"/>
      <c r="G34" s="86"/>
      <c r="H34" s="87"/>
      <c r="I34" s="86" t="s">
        <v>67</v>
      </c>
      <c r="J34" s="86"/>
      <c r="K34" s="86"/>
      <c r="L34" s="87"/>
      <c r="M34" s="86" t="s">
        <v>68</v>
      </c>
      <c r="N34" s="86"/>
      <c r="O34" s="86"/>
      <c r="P34" s="87"/>
      <c r="Q34" s="86" t="s">
        <v>69</v>
      </c>
      <c r="R34" s="86"/>
      <c r="S34" s="86"/>
      <c r="T34" s="87"/>
    </row>
    <row r="35" spans="1:20" ht="16.5" customHeight="1">
      <c r="A35" s="71">
        <v>25</v>
      </c>
      <c r="B35" s="72"/>
      <c r="C35" s="72"/>
      <c r="D35" s="88"/>
      <c r="E35" s="72">
        <v>43</v>
      </c>
      <c r="F35" s="72"/>
      <c r="G35" s="72"/>
      <c r="H35" s="88"/>
      <c r="I35" s="72">
        <v>160</v>
      </c>
      <c r="J35" s="72"/>
      <c r="K35" s="72"/>
      <c r="L35" s="88"/>
      <c r="M35" s="72">
        <v>5</v>
      </c>
      <c r="N35" s="72"/>
      <c r="O35" s="72"/>
      <c r="P35" s="88"/>
      <c r="Q35" s="89"/>
      <c r="R35" s="72"/>
      <c r="S35" s="72"/>
      <c r="T35" s="88"/>
    </row>
    <row r="36" ht="16.5" customHeight="1"/>
    <row r="37" ht="16.5" customHeight="1">
      <c r="A37" s="84" t="s">
        <v>70</v>
      </c>
    </row>
    <row r="38" spans="1:20" ht="17.25" customHeight="1">
      <c r="A38" s="85" t="s">
        <v>71</v>
      </c>
      <c r="B38" s="86"/>
      <c r="C38" s="86"/>
      <c r="D38" s="86"/>
      <c r="E38" s="87"/>
      <c r="F38" s="86" t="s">
        <v>72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  <c r="R38" s="86" t="s">
        <v>73</v>
      </c>
      <c r="S38" s="86"/>
      <c r="T38" s="87"/>
    </row>
    <row r="39" spans="1:20" ht="17.25" customHeight="1">
      <c r="A39" s="71" t="s">
        <v>74</v>
      </c>
      <c r="B39" s="72"/>
      <c r="C39" s="72"/>
      <c r="D39" s="86"/>
      <c r="E39" s="88"/>
      <c r="F39" s="72" t="s">
        <v>48</v>
      </c>
      <c r="G39" s="90">
        <f>G10</f>
        <v>2.8</v>
      </c>
      <c r="H39" s="72" t="s">
        <v>75</v>
      </c>
      <c r="I39" s="72">
        <f>L33</f>
        <v>2.8</v>
      </c>
      <c r="J39" s="72" t="s">
        <v>3</v>
      </c>
      <c r="K39" s="91" t="s">
        <v>76</v>
      </c>
      <c r="L39" s="72">
        <v>0.1</v>
      </c>
      <c r="M39" s="91" t="s">
        <v>28</v>
      </c>
      <c r="N39" s="72">
        <v>0.5</v>
      </c>
      <c r="O39" s="72"/>
      <c r="P39" s="89"/>
      <c r="Q39" s="88"/>
      <c r="R39" s="72">
        <f>ROUND((G39-I39)/L39*N39,2)</f>
        <v>0</v>
      </c>
      <c r="S39" s="72"/>
      <c r="T39" s="88"/>
    </row>
    <row r="40" spans="1:20" ht="17.25" customHeight="1">
      <c r="A40" s="71" t="s">
        <v>77</v>
      </c>
      <c r="B40" s="72"/>
      <c r="C40" s="72"/>
      <c r="D40" s="86"/>
      <c r="E40" s="88"/>
      <c r="F40" s="72" t="s">
        <v>48</v>
      </c>
      <c r="G40" s="92">
        <f>ROUND(O30/100,2)</f>
        <v>0.49</v>
      </c>
      <c r="H40" s="72"/>
      <c r="I40" s="72" t="s">
        <v>75</v>
      </c>
      <c r="J40" s="72">
        <f>ROUND(D33/100,2)</f>
        <v>0.55</v>
      </c>
      <c r="K40" s="72"/>
      <c r="L40" s="72" t="s">
        <v>3</v>
      </c>
      <c r="M40" s="93" t="s">
        <v>76</v>
      </c>
      <c r="N40" s="72">
        <v>0.05</v>
      </c>
      <c r="O40" s="72"/>
      <c r="P40" s="72"/>
      <c r="Q40" s="77"/>
      <c r="R40" s="92">
        <f>ROUND((G40-J40)/N40,2)</f>
        <v>-1.2</v>
      </c>
      <c r="S40" s="94"/>
      <c r="T40" s="95"/>
    </row>
    <row r="41" spans="1:20" ht="17.25" customHeight="1">
      <c r="A41" s="71" t="s">
        <v>78</v>
      </c>
      <c r="B41" s="72"/>
      <c r="C41" s="72"/>
      <c r="D41" s="86"/>
      <c r="E41" s="96"/>
      <c r="F41" s="72" t="s">
        <v>48</v>
      </c>
      <c r="G41" s="72">
        <f>Q5</f>
        <v>4.5</v>
      </c>
      <c r="H41" s="72"/>
      <c r="I41" s="72" t="s">
        <v>75</v>
      </c>
      <c r="J41" s="72">
        <f>M35</f>
        <v>5</v>
      </c>
      <c r="K41" s="72"/>
      <c r="L41" s="72" t="s">
        <v>3</v>
      </c>
      <c r="M41" s="91" t="s">
        <v>28</v>
      </c>
      <c r="N41" s="72">
        <v>-0.75</v>
      </c>
      <c r="O41" s="72"/>
      <c r="P41" s="72"/>
      <c r="Q41" s="77"/>
      <c r="R41" s="92">
        <f>ROUND((G41-J41)*N41,2)</f>
        <v>0.38</v>
      </c>
      <c r="S41" s="94"/>
      <c r="T41" s="95"/>
    </row>
    <row r="42" spans="1:20" ht="17.25" customHeight="1">
      <c r="A42" s="71" t="s">
        <v>79</v>
      </c>
      <c r="B42" s="72"/>
      <c r="C42" s="72"/>
      <c r="D42" s="86"/>
      <c r="E42" s="96"/>
      <c r="F42" s="97"/>
      <c r="G42" s="97"/>
      <c r="H42" s="97"/>
      <c r="I42" s="89">
        <v>3</v>
      </c>
      <c r="J42" s="97"/>
      <c r="K42" s="97" t="s">
        <v>80</v>
      </c>
      <c r="L42" s="97"/>
      <c r="M42" s="97">
        <v>5</v>
      </c>
      <c r="N42" s="97"/>
      <c r="O42" s="97"/>
      <c r="P42" s="97"/>
      <c r="Q42" s="98"/>
      <c r="R42" s="94">
        <v>3</v>
      </c>
      <c r="S42" s="94"/>
      <c r="T42" s="95"/>
    </row>
    <row r="43" spans="1:20" ht="17.25" customHeight="1">
      <c r="A43" s="71" t="s">
        <v>81</v>
      </c>
      <c r="B43" s="72"/>
      <c r="C43" s="72"/>
      <c r="D43" s="86"/>
      <c r="E43" s="88"/>
      <c r="F43" s="72">
        <f>E35</f>
        <v>43</v>
      </c>
      <c r="G43" s="72" t="s">
        <v>44</v>
      </c>
      <c r="H43" s="72">
        <f>R39</f>
        <v>0</v>
      </c>
      <c r="I43" s="72" t="s">
        <v>44</v>
      </c>
      <c r="J43" s="92">
        <f>R40</f>
        <v>-1.2</v>
      </c>
      <c r="K43" s="72"/>
      <c r="L43" s="72" t="s">
        <v>44</v>
      </c>
      <c r="M43" s="72">
        <f>R41</f>
        <v>0.38</v>
      </c>
      <c r="N43" s="72"/>
      <c r="O43" s="99" t="s">
        <v>44</v>
      </c>
      <c r="P43" s="94">
        <f>R42</f>
        <v>3</v>
      </c>
      <c r="Q43" s="77"/>
      <c r="R43" s="90">
        <f>ROUND(F43+H43+J43+M43+P43,1)</f>
        <v>45.2</v>
      </c>
      <c r="S43" s="94"/>
      <c r="T43" s="95"/>
    </row>
    <row r="44" ht="21" customHeight="1">
      <c r="A44" s="84" t="s">
        <v>82</v>
      </c>
    </row>
    <row r="45" spans="1:20" ht="16.5" customHeight="1">
      <c r="A45" s="85" t="s">
        <v>71</v>
      </c>
      <c r="B45" s="86"/>
      <c r="C45" s="86"/>
      <c r="D45" s="86"/>
      <c r="E45" s="87"/>
      <c r="F45" s="86" t="s">
        <v>72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  <c r="R45" s="86" t="s">
        <v>73</v>
      </c>
      <c r="S45" s="86"/>
      <c r="T45" s="87"/>
    </row>
    <row r="46" spans="1:20" ht="16.5" customHeight="1">
      <c r="A46" s="71" t="s">
        <v>83</v>
      </c>
      <c r="B46" s="72"/>
      <c r="C46" s="72"/>
      <c r="D46" s="86"/>
      <c r="E46" s="88"/>
      <c r="F46" s="72" t="s">
        <v>48</v>
      </c>
      <c r="G46" s="94">
        <f>G5</f>
        <v>8</v>
      </c>
      <c r="H46" s="72" t="s">
        <v>75</v>
      </c>
      <c r="I46" s="72">
        <f>H33</f>
        <v>8</v>
      </c>
      <c r="J46" s="72" t="s">
        <v>3</v>
      </c>
      <c r="K46" s="91" t="s">
        <v>28</v>
      </c>
      <c r="L46" s="72">
        <v>0.012</v>
      </c>
      <c r="M46" s="72"/>
      <c r="N46" s="91" t="s">
        <v>28</v>
      </c>
      <c r="O46" s="72">
        <f>I35</f>
        <v>160</v>
      </c>
      <c r="P46" s="72"/>
      <c r="Q46" s="100"/>
      <c r="R46" s="92">
        <f>ROUND((G46-I46)*L46*O46,2)</f>
        <v>0</v>
      </c>
      <c r="S46" s="94"/>
      <c r="T46" s="95"/>
    </row>
    <row r="47" spans="1:20" ht="16.5" customHeight="1">
      <c r="A47" s="71" t="s">
        <v>78</v>
      </c>
      <c r="B47" s="72"/>
      <c r="C47" s="72"/>
      <c r="D47" s="86"/>
      <c r="E47" s="96"/>
      <c r="F47" s="72" t="s">
        <v>48</v>
      </c>
      <c r="G47" s="72">
        <f>Q5</f>
        <v>4.5</v>
      </c>
      <c r="H47" s="72" t="s">
        <v>75</v>
      </c>
      <c r="I47" s="72">
        <f>M35</f>
        <v>5</v>
      </c>
      <c r="J47" s="72" t="s">
        <v>3</v>
      </c>
      <c r="K47" s="91" t="s">
        <v>28</v>
      </c>
      <c r="L47" s="72">
        <v>-0.03</v>
      </c>
      <c r="M47" s="72"/>
      <c r="N47" s="93" t="s">
        <v>28</v>
      </c>
      <c r="O47" s="72">
        <f>O46</f>
        <v>160</v>
      </c>
      <c r="P47" s="72"/>
      <c r="Q47" s="77"/>
      <c r="R47" s="92">
        <f>ROUND((G47-I47)*L47*O47,2)</f>
        <v>2.4</v>
      </c>
      <c r="S47" s="94"/>
      <c r="T47" s="95"/>
    </row>
    <row r="48" spans="1:20" ht="16.5" customHeight="1">
      <c r="A48" s="101" t="s">
        <v>79</v>
      </c>
      <c r="B48" s="102"/>
      <c r="C48" s="102"/>
      <c r="D48" s="103"/>
      <c r="E48" s="104"/>
      <c r="F48" s="76"/>
      <c r="G48" s="76"/>
      <c r="H48" s="76"/>
      <c r="I48" s="76">
        <v>9</v>
      </c>
      <c r="J48" s="76"/>
      <c r="K48" s="76" t="s">
        <v>80</v>
      </c>
      <c r="L48" s="76"/>
      <c r="M48" s="76">
        <v>15</v>
      </c>
      <c r="N48" s="76"/>
      <c r="O48" s="76"/>
      <c r="P48" s="76"/>
      <c r="Q48" s="77"/>
      <c r="R48" s="92">
        <v>9</v>
      </c>
      <c r="S48" s="94"/>
      <c r="T48" s="95"/>
    </row>
    <row r="49" spans="1:20" ht="16.5" customHeight="1">
      <c r="A49" s="101" t="s">
        <v>81</v>
      </c>
      <c r="B49" s="72"/>
      <c r="C49" s="102"/>
      <c r="D49" s="103"/>
      <c r="E49" s="104"/>
      <c r="F49" s="72" t="s">
        <v>48</v>
      </c>
      <c r="G49" s="90">
        <f>R43</f>
        <v>45.2</v>
      </c>
      <c r="H49" s="72"/>
      <c r="I49" s="72" t="s">
        <v>75</v>
      </c>
      <c r="J49" s="90">
        <f>E35</f>
        <v>43</v>
      </c>
      <c r="K49" s="72"/>
      <c r="L49" s="72" t="s">
        <v>3</v>
      </c>
      <c r="M49" s="91" t="s">
        <v>28</v>
      </c>
      <c r="N49" s="72">
        <v>1.5</v>
      </c>
      <c r="O49" s="72"/>
      <c r="P49" s="76"/>
      <c r="Q49" s="77"/>
      <c r="R49" s="92">
        <f>ROUND((G49-J49)*N49,2)</f>
        <v>3.3</v>
      </c>
      <c r="S49" s="94"/>
      <c r="T49" s="95"/>
    </row>
    <row r="50" spans="1:20" ht="16.5" customHeight="1">
      <c r="A50" s="71" t="s">
        <v>67</v>
      </c>
      <c r="B50" s="72"/>
      <c r="C50" s="72"/>
      <c r="D50" s="86"/>
      <c r="E50" s="88"/>
      <c r="F50" s="72">
        <f>I35</f>
        <v>160</v>
      </c>
      <c r="G50" s="72" t="s">
        <v>44</v>
      </c>
      <c r="H50" s="92">
        <f>R46</f>
        <v>0</v>
      </c>
      <c r="I50" s="72" t="s">
        <v>44</v>
      </c>
      <c r="J50" s="92">
        <f>R47</f>
        <v>2.4</v>
      </c>
      <c r="K50" s="72"/>
      <c r="L50" s="72" t="s">
        <v>44</v>
      </c>
      <c r="M50" s="90">
        <f>R48</f>
        <v>9</v>
      </c>
      <c r="N50" s="72" t="s">
        <v>44</v>
      </c>
      <c r="O50" s="92">
        <f>R49</f>
        <v>3.3</v>
      </c>
      <c r="P50" s="72"/>
      <c r="Q50" s="77"/>
      <c r="R50" s="90">
        <f>ROUND(F50+H50+J50+M50+O50,5)</f>
        <v>174.7</v>
      </c>
      <c r="S50" s="94"/>
      <c r="T50" s="95"/>
    </row>
    <row r="51" ht="12" customHeight="1"/>
    <row r="52" ht="16.5" customHeight="1">
      <c r="A52" s="7" t="s">
        <v>84</v>
      </c>
    </row>
    <row r="53" spans="1:18" ht="16.5" customHeight="1">
      <c r="A53" s="7" t="s">
        <v>85</v>
      </c>
      <c r="B53" s="7" t="s">
        <v>86</v>
      </c>
      <c r="F53" s="7" t="s">
        <v>34</v>
      </c>
      <c r="G53" s="7" t="s">
        <v>87</v>
      </c>
      <c r="L53" s="105">
        <f>O30</f>
        <v>48.6</v>
      </c>
      <c r="M53" s="84" t="s">
        <v>88</v>
      </c>
      <c r="O53" s="105">
        <f>R50</f>
        <v>174.7</v>
      </c>
      <c r="Q53" s="7" t="s">
        <v>89</v>
      </c>
      <c r="R53" s="7" t="s">
        <v>90</v>
      </c>
    </row>
    <row r="54" spans="6:15" ht="16.5" customHeight="1">
      <c r="F54" s="7" t="s">
        <v>91</v>
      </c>
      <c r="G54" s="79">
        <f>O53</f>
        <v>174.7</v>
      </c>
      <c r="H54" s="78"/>
      <c r="I54" s="106" t="s">
        <v>76</v>
      </c>
      <c r="J54" s="107">
        <f>ROUND(L53/100,2)</f>
        <v>0.49</v>
      </c>
      <c r="K54" s="107"/>
      <c r="L54" s="7" t="s">
        <v>26</v>
      </c>
      <c r="M54" s="79">
        <f>ROUND(G54/J54,0)</f>
        <v>357</v>
      </c>
      <c r="N54" s="79"/>
      <c r="O54" s="7" t="s">
        <v>89</v>
      </c>
    </row>
    <row r="55" spans="1:15" ht="16.5" customHeight="1">
      <c r="A55" s="7" t="s">
        <v>85</v>
      </c>
      <c r="B55" s="7" t="s">
        <v>92</v>
      </c>
      <c r="F55" s="7" t="s">
        <v>91</v>
      </c>
      <c r="G55" s="79">
        <f>M54</f>
        <v>357</v>
      </c>
      <c r="H55" s="78"/>
      <c r="I55" s="106" t="s">
        <v>76</v>
      </c>
      <c r="J55" s="78">
        <f>Q9</f>
        <v>3.05</v>
      </c>
      <c r="K55" s="78"/>
      <c r="L55" s="7" t="s">
        <v>26</v>
      </c>
      <c r="M55" s="79">
        <f>ROUND(G55/J55,0)</f>
        <v>117</v>
      </c>
      <c r="N55" s="79"/>
      <c r="O55" s="7" t="s">
        <v>93</v>
      </c>
    </row>
    <row r="56" spans="1:15" ht="16.5" customHeight="1">
      <c r="A56" s="7" t="s">
        <v>85</v>
      </c>
      <c r="B56" s="7" t="s">
        <v>94</v>
      </c>
      <c r="M56" s="78">
        <v>30</v>
      </c>
      <c r="N56" s="78"/>
      <c r="O56" s="7" t="s">
        <v>93</v>
      </c>
    </row>
    <row r="57" spans="1:20" ht="16.5" customHeight="1">
      <c r="A57" s="7" t="s">
        <v>85</v>
      </c>
      <c r="B57" s="7" t="s">
        <v>95</v>
      </c>
      <c r="F57" s="84" t="s">
        <v>96</v>
      </c>
      <c r="G57" s="7" t="s">
        <v>48</v>
      </c>
      <c r="H57" s="108">
        <f>M55/1000</f>
        <v>0.117</v>
      </c>
      <c r="I57" s="108"/>
      <c r="J57" s="108" t="s">
        <v>44</v>
      </c>
      <c r="K57" s="108">
        <f>R50/1000</f>
        <v>0.1747</v>
      </c>
      <c r="L57" s="108"/>
      <c r="M57" s="78" t="s">
        <v>44</v>
      </c>
      <c r="N57" s="78">
        <f>M56/1000</f>
        <v>0.03</v>
      </c>
      <c r="O57" s="78"/>
      <c r="P57" s="7" t="s">
        <v>3</v>
      </c>
      <c r="Q57" s="7" t="s">
        <v>26</v>
      </c>
      <c r="R57" s="108">
        <f>1-(H57+K57+N57)</f>
        <v>0.6783</v>
      </c>
      <c r="S57" s="107"/>
      <c r="T57" s="84" t="s">
        <v>97</v>
      </c>
    </row>
    <row r="58" spans="1:14" ht="16.5" customHeight="1">
      <c r="A58" s="7" t="s">
        <v>85</v>
      </c>
      <c r="B58" s="7" t="s">
        <v>98</v>
      </c>
      <c r="F58" s="108">
        <f>R57</f>
        <v>0.6783</v>
      </c>
      <c r="G58" s="78"/>
      <c r="H58" s="82" t="s">
        <v>28</v>
      </c>
      <c r="I58" s="108">
        <f>ROUND(R43/100,3)</f>
        <v>0.452</v>
      </c>
      <c r="J58" s="78"/>
      <c r="K58" s="78" t="s">
        <v>26</v>
      </c>
      <c r="L58" s="108">
        <f>ROUND(F58*I58,3)</f>
        <v>0.307</v>
      </c>
      <c r="M58" s="108"/>
      <c r="N58" s="84" t="s">
        <v>97</v>
      </c>
    </row>
    <row r="59" spans="1:14" ht="16.5" customHeight="1">
      <c r="A59" s="7" t="s">
        <v>85</v>
      </c>
      <c r="B59" s="7" t="s">
        <v>99</v>
      </c>
      <c r="F59" s="108">
        <f>R57</f>
        <v>0.6783</v>
      </c>
      <c r="G59" s="78"/>
      <c r="H59" s="78" t="s">
        <v>75</v>
      </c>
      <c r="I59" s="108">
        <f>L58</f>
        <v>0.307</v>
      </c>
      <c r="J59" s="78"/>
      <c r="K59" s="78" t="s">
        <v>26</v>
      </c>
      <c r="L59" s="108">
        <f>ROUND(F59-I59,3)</f>
        <v>0.371</v>
      </c>
      <c r="M59" s="78"/>
      <c r="N59" s="84" t="s">
        <v>97</v>
      </c>
    </row>
    <row r="60" spans="1:17" ht="21" customHeight="1">
      <c r="A60" s="7" t="s">
        <v>85</v>
      </c>
      <c r="B60" s="7" t="s">
        <v>100</v>
      </c>
      <c r="F60" s="108">
        <f>L58</f>
        <v>0.307</v>
      </c>
      <c r="G60" s="78"/>
      <c r="H60" s="82" t="s">
        <v>28</v>
      </c>
      <c r="I60" s="107">
        <f>G8</f>
        <v>2.58</v>
      </c>
      <c r="J60" s="78"/>
      <c r="K60" s="82" t="s">
        <v>28</v>
      </c>
      <c r="L60" s="78">
        <v>1000</v>
      </c>
      <c r="M60" s="78"/>
      <c r="N60" s="78" t="s">
        <v>26</v>
      </c>
      <c r="O60" s="79">
        <f>ROUND(F60*I60*L60,0)</f>
        <v>792</v>
      </c>
      <c r="P60" s="79"/>
      <c r="Q60" s="7" t="s">
        <v>89</v>
      </c>
    </row>
    <row r="61" spans="1:17" ht="21" customHeight="1">
      <c r="A61" s="7" t="s">
        <v>85</v>
      </c>
      <c r="B61" s="7" t="s">
        <v>101</v>
      </c>
      <c r="F61" s="108">
        <f>L59</f>
        <v>0.371</v>
      </c>
      <c r="G61" s="78"/>
      <c r="H61" s="82" t="s">
        <v>28</v>
      </c>
      <c r="I61" s="107">
        <f>G9</f>
        <v>2.7</v>
      </c>
      <c r="J61" s="78"/>
      <c r="K61" s="82" t="s">
        <v>28</v>
      </c>
      <c r="L61" s="78">
        <v>1000</v>
      </c>
      <c r="M61" s="78"/>
      <c r="N61" s="78" t="s">
        <v>26</v>
      </c>
      <c r="O61" s="79">
        <f>ROUND(F61*I61*L61,0)</f>
        <v>1002</v>
      </c>
      <c r="P61" s="79"/>
      <c r="Q61" s="7" t="s">
        <v>89</v>
      </c>
    </row>
    <row r="62" spans="1:14" ht="22.5" customHeight="1">
      <c r="A62" s="7" t="s">
        <v>85</v>
      </c>
      <c r="B62" s="7" t="s">
        <v>102</v>
      </c>
      <c r="F62" s="79">
        <f>M54</f>
        <v>357</v>
      </c>
      <c r="G62" s="78"/>
      <c r="H62" s="82" t="s">
        <v>28</v>
      </c>
      <c r="I62" s="78">
        <v>0.003</v>
      </c>
      <c r="J62" s="78"/>
      <c r="K62" s="78" t="s">
        <v>26</v>
      </c>
      <c r="L62" s="107">
        <f>F62*I62</f>
        <v>1.071</v>
      </c>
      <c r="M62" s="107"/>
      <c r="N62" s="7" t="s">
        <v>89</v>
      </c>
    </row>
    <row r="63" ht="20.25" customHeight="1"/>
    <row r="64" ht="16.5" customHeight="1">
      <c r="A64" s="7" t="s">
        <v>103</v>
      </c>
    </row>
    <row r="65" ht="16.5" customHeight="1">
      <c r="A65" s="7" t="s">
        <v>104</v>
      </c>
    </row>
    <row r="66" ht="16.5" customHeight="1">
      <c r="A66" s="84" t="s">
        <v>105</v>
      </c>
    </row>
    <row r="67" spans="1:20" ht="19.5" customHeight="1">
      <c r="A67" s="31" t="s">
        <v>106</v>
      </c>
      <c r="B67" s="109"/>
      <c r="C67" s="32" t="s">
        <v>47</v>
      </c>
      <c r="D67" s="109"/>
      <c r="E67" s="32" t="s">
        <v>107</v>
      </c>
      <c r="F67" s="109"/>
      <c r="G67" s="32" t="s">
        <v>66</v>
      </c>
      <c r="H67" s="109"/>
      <c r="I67" s="86" t="s">
        <v>108</v>
      </c>
      <c r="J67" s="86"/>
      <c r="K67" s="86"/>
      <c r="L67" s="86"/>
      <c r="M67" s="86"/>
      <c r="N67" s="86"/>
      <c r="O67" s="86"/>
      <c r="P67" s="86"/>
      <c r="Q67" s="86"/>
      <c r="R67" s="87"/>
      <c r="S67" s="32" t="s">
        <v>69</v>
      </c>
      <c r="T67" s="109"/>
    </row>
    <row r="68" spans="1:20" ht="19.5" customHeight="1">
      <c r="A68" s="71"/>
      <c r="B68" s="88"/>
      <c r="C68" s="72" t="s">
        <v>109</v>
      </c>
      <c r="D68" s="88"/>
      <c r="E68" s="89"/>
      <c r="F68" s="88"/>
      <c r="G68" s="72" t="s">
        <v>110</v>
      </c>
      <c r="H68" s="88"/>
      <c r="I68" s="72" t="s">
        <v>111</v>
      </c>
      <c r="J68" s="88"/>
      <c r="K68" s="72" t="s">
        <v>67</v>
      </c>
      <c r="L68" s="88"/>
      <c r="M68" s="72" t="s">
        <v>112</v>
      </c>
      <c r="N68" s="88"/>
      <c r="O68" s="72" t="s">
        <v>113</v>
      </c>
      <c r="P68" s="88"/>
      <c r="Q68" s="72" t="s">
        <v>114</v>
      </c>
      <c r="R68" s="88"/>
      <c r="S68" s="89"/>
      <c r="T68" s="88"/>
    </row>
    <row r="69" spans="1:20" ht="22.5" customHeight="1">
      <c r="A69" s="71">
        <v>1</v>
      </c>
      <c r="B69" s="110" t="s">
        <v>97</v>
      </c>
      <c r="C69" s="111"/>
      <c r="D69" s="112"/>
      <c r="E69" s="51"/>
      <c r="F69" s="112"/>
      <c r="G69" s="51"/>
      <c r="H69" s="112"/>
      <c r="I69" s="94">
        <f>M54</f>
        <v>357</v>
      </c>
      <c r="J69" s="88"/>
      <c r="K69" s="94">
        <f>O53</f>
        <v>174.7</v>
      </c>
      <c r="L69" s="88"/>
      <c r="M69" s="94">
        <f>O60</f>
        <v>792</v>
      </c>
      <c r="N69" s="88"/>
      <c r="O69" s="94">
        <f>O61</f>
        <v>1002</v>
      </c>
      <c r="P69" s="88"/>
      <c r="Q69" s="92">
        <f>L62</f>
        <v>1.071</v>
      </c>
      <c r="R69" s="88"/>
      <c r="S69" s="111"/>
      <c r="T69" s="112"/>
    </row>
    <row r="70" spans="1:20" ht="22.5" customHeight="1">
      <c r="A70" s="71" t="s">
        <v>115</v>
      </c>
      <c r="B70" s="88"/>
      <c r="C70" s="94">
        <f>L53</f>
        <v>48.6</v>
      </c>
      <c r="D70" s="88"/>
      <c r="E70" s="94">
        <f>G5</f>
        <v>8</v>
      </c>
      <c r="F70" s="88"/>
      <c r="G70" s="90">
        <f>R43</f>
        <v>45.2</v>
      </c>
      <c r="H70" s="88"/>
      <c r="I70" s="113">
        <f>I69*0.04</f>
        <v>14.280000000000001</v>
      </c>
      <c r="J70" s="114"/>
      <c r="K70" s="113">
        <f>K69*0.04</f>
        <v>6.9879999999999995</v>
      </c>
      <c r="L70" s="114"/>
      <c r="M70" s="113">
        <f>M69*0.04</f>
        <v>31.68</v>
      </c>
      <c r="N70" s="114"/>
      <c r="O70" s="113">
        <f>O69*0.04</f>
        <v>40.08</v>
      </c>
      <c r="P70" s="114"/>
      <c r="Q70" s="113">
        <f>Q69*0.04</f>
        <v>0.042839999999999996</v>
      </c>
      <c r="R70" s="114"/>
      <c r="S70" s="89"/>
      <c r="T70" s="88"/>
    </row>
    <row r="71" ht="19.5" customHeight="1">
      <c r="A71" s="84" t="s">
        <v>116</v>
      </c>
    </row>
    <row r="72" spans="1:22" ht="27.75" customHeight="1">
      <c r="A72" s="85" t="s">
        <v>117</v>
      </c>
      <c r="B72" s="86"/>
      <c r="C72" s="86"/>
      <c r="D72" s="86"/>
      <c r="E72" s="87"/>
      <c r="F72" s="86" t="s">
        <v>118</v>
      </c>
      <c r="G72" s="86"/>
      <c r="H72" s="86"/>
      <c r="I72" s="86"/>
      <c r="J72" s="87"/>
      <c r="K72" s="86" t="s">
        <v>119</v>
      </c>
      <c r="L72" s="86"/>
      <c r="M72" s="86"/>
      <c r="N72" s="86"/>
      <c r="O72" s="87"/>
      <c r="P72" s="86" t="s">
        <v>120</v>
      </c>
      <c r="Q72" s="86"/>
      <c r="R72" s="86"/>
      <c r="S72" s="86"/>
      <c r="T72" s="87"/>
      <c r="V72" s="105">
        <f>K243</f>
        <v>168</v>
      </c>
    </row>
    <row r="73" spans="1:22" ht="24.75" customHeight="1">
      <c r="A73" s="71">
        <v>12.4</v>
      </c>
      <c r="B73" s="72"/>
      <c r="C73" s="72"/>
      <c r="D73" s="72"/>
      <c r="E73" s="88"/>
      <c r="F73" s="72">
        <v>5</v>
      </c>
      <c r="G73" s="72"/>
      <c r="H73" s="72"/>
      <c r="I73" s="72"/>
      <c r="J73" s="88"/>
      <c r="K73" s="72" t="s">
        <v>121</v>
      </c>
      <c r="L73" s="72"/>
      <c r="M73" s="72"/>
      <c r="N73" s="72"/>
      <c r="O73" s="88"/>
      <c r="P73" s="89"/>
      <c r="Q73" s="72"/>
      <c r="R73" s="72"/>
      <c r="S73" s="72"/>
      <c r="T73" s="88"/>
      <c r="V73" s="115">
        <f>G243</f>
        <v>46</v>
      </c>
    </row>
    <row r="74" ht="16.5" customHeight="1"/>
    <row r="75" ht="16.5" customHeight="1">
      <c r="B75" s="7" t="s">
        <v>122</v>
      </c>
    </row>
    <row r="76" spans="1:20" ht="16.5" customHeight="1">
      <c r="A76" s="85" t="s">
        <v>71</v>
      </c>
      <c r="B76" s="86"/>
      <c r="C76" s="86"/>
      <c r="D76" s="86"/>
      <c r="E76" s="87"/>
      <c r="F76" s="86" t="s">
        <v>72</v>
      </c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7"/>
      <c r="R76" s="86" t="s">
        <v>73</v>
      </c>
      <c r="S76" s="86"/>
      <c r="T76" s="87"/>
    </row>
    <row r="77" spans="1:20" ht="16.5" customHeight="1">
      <c r="A77" s="71" t="s">
        <v>123</v>
      </c>
      <c r="B77" s="72"/>
      <c r="C77" s="72"/>
      <c r="D77" s="86"/>
      <c r="E77" s="88"/>
      <c r="F77" s="89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88"/>
      <c r="R77" s="90">
        <f>R43</f>
        <v>45.2</v>
      </c>
      <c r="S77" s="72"/>
      <c r="T77" s="88"/>
    </row>
    <row r="78" spans="1:20" ht="16.5" customHeight="1">
      <c r="A78" s="71" t="s">
        <v>83</v>
      </c>
      <c r="B78" s="72"/>
      <c r="C78" s="72"/>
      <c r="D78" s="86"/>
      <c r="E78" s="88"/>
      <c r="F78" s="72" t="s">
        <v>124</v>
      </c>
      <c r="G78" s="92"/>
      <c r="H78" s="72"/>
      <c r="I78" s="72"/>
      <c r="J78" s="72"/>
      <c r="K78" s="72"/>
      <c r="L78" s="72"/>
      <c r="M78" s="72"/>
      <c r="N78" s="72"/>
      <c r="O78" s="72"/>
      <c r="P78" s="72"/>
      <c r="Q78" s="88"/>
      <c r="R78" s="92">
        <v>0</v>
      </c>
      <c r="S78" s="94"/>
      <c r="T78" s="95"/>
    </row>
    <row r="79" spans="1:20" ht="16.5" customHeight="1">
      <c r="A79" s="71" t="s">
        <v>78</v>
      </c>
      <c r="B79" s="72"/>
      <c r="C79" s="72"/>
      <c r="D79" s="86"/>
      <c r="E79" s="96"/>
      <c r="F79" s="72" t="s">
        <v>48</v>
      </c>
      <c r="G79" s="72">
        <f>Q5</f>
        <v>4.5</v>
      </c>
      <c r="H79" s="72"/>
      <c r="I79" s="72" t="s">
        <v>75</v>
      </c>
      <c r="J79" s="72">
        <f>F73</f>
        <v>5</v>
      </c>
      <c r="K79" s="72"/>
      <c r="L79" s="72" t="s">
        <v>3</v>
      </c>
      <c r="M79" s="91" t="s">
        <v>28</v>
      </c>
      <c r="N79" s="72">
        <v>0.75</v>
      </c>
      <c r="O79" s="72"/>
      <c r="P79" s="72"/>
      <c r="Q79" s="77"/>
      <c r="R79" s="92">
        <f>ROUND((G79-J79)*N79,2)</f>
        <v>-0.38</v>
      </c>
      <c r="S79" s="94"/>
      <c r="T79" s="95"/>
    </row>
    <row r="80" spans="1:20" ht="16.5" customHeight="1">
      <c r="A80" s="71" t="s">
        <v>81</v>
      </c>
      <c r="B80" s="72"/>
      <c r="C80" s="72"/>
      <c r="D80" s="86"/>
      <c r="E80" s="88"/>
      <c r="F80" s="116"/>
      <c r="G80" s="90">
        <f>R77</f>
        <v>45.2</v>
      </c>
      <c r="H80" s="72"/>
      <c r="I80" s="72" t="s">
        <v>44</v>
      </c>
      <c r="J80" s="92">
        <f>R78</f>
        <v>0</v>
      </c>
      <c r="K80" s="72"/>
      <c r="L80" s="72" t="s">
        <v>44</v>
      </c>
      <c r="M80" s="72"/>
      <c r="N80" s="92">
        <f>R79</f>
        <v>-0.38</v>
      </c>
      <c r="O80" s="92"/>
      <c r="P80" s="117"/>
      <c r="Q80" s="77"/>
      <c r="R80" s="90">
        <f>ROUND(G80+J80+N80,1)</f>
        <v>44.8</v>
      </c>
      <c r="S80" s="94"/>
      <c r="T80" s="95"/>
    </row>
    <row r="81" ht="22.5" customHeight="1">
      <c r="B81" s="7" t="s">
        <v>125</v>
      </c>
    </row>
    <row r="82" spans="1:20" ht="16.5" customHeight="1">
      <c r="A82" s="85" t="s">
        <v>71</v>
      </c>
      <c r="B82" s="86"/>
      <c r="C82" s="86"/>
      <c r="D82" s="86"/>
      <c r="E82" s="87"/>
      <c r="F82" s="86" t="s">
        <v>72</v>
      </c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7"/>
      <c r="R82" s="86" t="s">
        <v>73</v>
      </c>
      <c r="S82" s="86"/>
      <c r="T82" s="87"/>
    </row>
    <row r="83" spans="1:20" ht="16.5" customHeight="1">
      <c r="A83" s="71" t="s">
        <v>123</v>
      </c>
      <c r="B83" s="72"/>
      <c r="C83" s="72"/>
      <c r="D83" s="86"/>
      <c r="E83" s="88"/>
      <c r="F83" s="89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88"/>
      <c r="R83" s="90">
        <f>R50</f>
        <v>174.7</v>
      </c>
      <c r="S83" s="72"/>
      <c r="T83" s="88"/>
    </row>
    <row r="84" spans="1:20" ht="16.5" customHeight="1">
      <c r="A84" s="71" t="s">
        <v>83</v>
      </c>
      <c r="B84" s="72"/>
      <c r="C84" s="72"/>
      <c r="D84" s="86"/>
      <c r="E84" s="88"/>
      <c r="F84" s="72" t="s">
        <v>48</v>
      </c>
      <c r="G84" s="94">
        <f>E70</f>
        <v>8</v>
      </c>
      <c r="H84" s="72" t="s">
        <v>75</v>
      </c>
      <c r="I84" s="72">
        <f>A73</f>
        <v>12.4</v>
      </c>
      <c r="J84" s="72" t="s">
        <v>3</v>
      </c>
      <c r="K84" s="91" t="s">
        <v>28</v>
      </c>
      <c r="L84" s="72">
        <v>0.012</v>
      </c>
      <c r="M84" s="72"/>
      <c r="N84" s="91" t="s">
        <v>28</v>
      </c>
      <c r="O84" s="94">
        <f>R83</f>
        <v>174.7</v>
      </c>
      <c r="P84" s="72"/>
      <c r="Q84" s="100"/>
      <c r="R84" s="92">
        <f>ROUND((G84-I84)*L84*O84,2)</f>
        <v>-9.22</v>
      </c>
      <c r="S84" s="94"/>
      <c r="T84" s="95"/>
    </row>
    <row r="85" spans="1:20" ht="16.5" customHeight="1">
      <c r="A85" s="71" t="s">
        <v>78</v>
      </c>
      <c r="B85" s="72"/>
      <c r="C85" s="72"/>
      <c r="D85" s="86"/>
      <c r="E85" s="96"/>
      <c r="F85" s="72" t="s">
        <v>48</v>
      </c>
      <c r="G85" s="72">
        <f>Q5</f>
        <v>4.5</v>
      </c>
      <c r="H85" s="72" t="s">
        <v>75</v>
      </c>
      <c r="I85" s="72">
        <f>F73</f>
        <v>5</v>
      </c>
      <c r="J85" s="72" t="s">
        <v>3</v>
      </c>
      <c r="K85" s="91" t="s">
        <v>28</v>
      </c>
      <c r="L85" s="72">
        <v>0.03</v>
      </c>
      <c r="M85" s="72"/>
      <c r="N85" s="91" t="s">
        <v>28</v>
      </c>
      <c r="O85" s="94">
        <f>R83</f>
        <v>174.7</v>
      </c>
      <c r="P85" s="72"/>
      <c r="Q85" s="77"/>
      <c r="R85" s="92">
        <f>ROUND((G85-I85)*L85*O85,2)</f>
        <v>-2.62</v>
      </c>
      <c r="S85" s="94"/>
      <c r="T85" s="95"/>
    </row>
    <row r="86" spans="1:20" ht="16.5" customHeight="1">
      <c r="A86" s="71" t="s">
        <v>66</v>
      </c>
      <c r="B86" s="72"/>
      <c r="C86" s="72"/>
      <c r="D86" s="86"/>
      <c r="E86" s="96"/>
      <c r="F86" s="72" t="s">
        <v>48</v>
      </c>
      <c r="G86" s="90">
        <f>R80</f>
        <v>44.8</v>
      </c>
      <c r="H86" s="72"/>
      <c r="I86" s="72" t="s">
        <v>75</v>
      </c>
      <c r="J86" s="90">
        <f>G80</f>
        <v>45.2</v>
      </c>
      <c r="K86" s="72"/>
      <c r="L86" s="72" t="s">
        <v>3</v>
      </c>
      <c r="M86" s="72"/>
      <c r="N86" s="91" t="s">
        <v>28</v>
      </c>
      <c r="O86" s="72">
        <f>1.5</f>
        <v>1.5</v>
      </c>
      <c r="P86" s="72"/>
      <c r="Q86" s="77"/>
      <c r="R86" s="92">
        <f>ROUND((G86-J86)*O86,2)</f>
        <v>-0.6</v>
      </c>
      <c r="S86" s="94"/>
      <c r="T86" s="95"/>
    </row>
    <row r="87" spans="1:20" ht="16.5" customHeight="1">
      <c r="A87" s="71" t="s">
        <v>67</v>
      </c>
      <c r="B87" s="72"/>
      <c r="C87" s="72"/>
      <c r="D87" s="86"/>
      <c r="E87" s="88"/>
      <c r="F87" s="116"/>
      <c r="G87" s="90">
        <f>R83</f>
        <v>174.7</v>
      </c>
      <c r="H87" s="72"/>
      <c r="I87" s="72" t="s">
        <v>44</v>
      </c>
      <c r="J87" s="92">
        <f>R84</f>
        <v>-9.22</v>
      </c>
      <c r="K87" s="72"/>
      <c r="L87" s="72" t="s">
        <v>44</v>
      </c>
      <c r="M87" s="92">
        <f>R85</f>
        <v>-2.62</v>
      </c>
      <c r="N87" s="72"/>
      <c r="O87" s="92" t="s">
        <v>44</v>
      </c>
      <c r="P87" s="92">
        <f>R86</f>
        <v>-0.6</v>
      </c>
      <c r="Q87" s="118"/>
      <c r="R87" s="90">
        <f>ROUND(G87+J87+M87+P87,5)</f>
        <v>162.26</v>
      </c>
      <c r="S87" s="94"/>
      <c r="T87" s="95"/>
    </row>
    <row r="88" ht="22.5" customHeight="1">
      <c r="B88" s="7" t="s">
        <v>126</v>
      </c>
    </row>
    <row r="89" spans="1:18" ht="23.25" customHeight="1">
      <c r="A89" s="7" t="s">
        <v>85</v>
      </c>
      <c r="B89" s="7" t="s">
        <v>86</v>
      </c>
      <c r="F89" s="7" t="s">
        <v>34</v>
      </c>
      <c r="G89" s="7" t="s">
        <v>87</v>
      </c>
      <c r="L89" s="105">
        <f>C70</f>
        <v>48.6</v>
      </c>
      <c r="M89" s="84" t="s">
        <v>88</v>
      </c>
      <c r="O89" s="79">
        <f>R87</f>
        <v>162.26</v>
      </c>
      <c r="P89" s="83"/>
      <c r="Q89" s="7" t="s">
        <v>89</v>
      </c>
      <c r="R89" s="7" t="s">
        <v>90</v>
      </c>
    </row>
    <row r="90" spans="6:15" ht="23.25" customHeight="1">
      <c r="F90" s="7" t="s">
        <v>91</v>
      </c>
      <c r="G90" s="79">
        <f>O89</f>
        <v>162.26</v>
      </c>
      <c r="H90" s="78"/>
      <c r="I90" s="106" t="s">
        <v>76</v>
      </c>
      <c r="J90" s="107">
        <f>ROUND(L89/100,2)</f>
        <v>0.49</v>
      </c>
      <c r="K90" s="107"/>
      <c r="L90" s="7" t="s">
        <v>26</v>
      </c>
      <c r="M90" s="79">
        <f>ROUND(G90/J90,0)</f>
        <v>331</v>
      </c>
      <c r="N90" s="79"/>
      <c r="O90" s="7" t="s">
        <v>89</v>
      </c>
    </row>
    <row r="91" spans="1:15" ht="23.25" customHeight="1">
      <c r="A91" s="7" t="s">
        <v>85</v>
      </c>
      <c r="B91" s="7" t="s">
        <v>92</v>
      </c>
      <c r="F91" s="7" t="s">
        <v>91</v>
      </c>
      <c r="G91" s="79">
        <f>M90</f>
        <v>331</v>
      </c>
      <c r="H91" s="78"/>
      <c r="I91" s="106" t="s">
        <v>76</v>
      </c>
      <c r="J91" s="78">
        <f>J55</f>
        <v>3.05</v>
      </c>
      <c r="K91" s="78"/>
      <c r="L91" s="7" t="s">
        <v>26</v>
      </c>
      <c r="M91" s="79">
        <f>ROUND(G91/J91,0)</f>
        <v>109</v>
      </c>
      <c r="N91" s="79"/>
      <c r="O91" s="7" t="s">
        <v>93</v>
      </c>
    </row>
    <row r="92" spans="1:15" ht="23.25" customHeight="1">
      <c r="A92" s="7" t="s">
        <v>85</v>
      </c>
      <c r="B92" s="7" t="s">
        <v>94</v>
      </c>
      <c r="M92" s="78">
        <f>M56</f>
        <v>30</v>
      </c>
      <c r="N92" s="78"/>
      <c r="O92" s="7" t="s">
        <v>93</v>
      </c>
    </row>
    <row r="93" spans="1:20" ht="27" customHeight="1">
      <c r="A93" s="7" t="s">
        <v>85</v>
      </c>
      <c r="B93" s="7" t="s">
        <v>95</v>
      </c>
      <c r="F93" s="84" t="s">
        <v>96</v>
      </c>
      <c r="G93" s="7" t="s">
        <v>48</v>
      </c>
      <c r="H93" s="108">
        <f>M91/1000</f>
        <v>0.109</v>
      </c>
      <c r="I93" s="108"/>
      <c r="J93" s="108" t="s">
        <v>44</v>
      </c>
      <c r="K93" s="108">
        <f>O89/1000</f>
        <v>0.16226</v>
      </c>
      <c r="L93" s="108"/>
      <c r="M93" s="78" t="s">
        <v>44</v>
      </c>
      <c r="N93" s="78">
        <f>M92/1000</f>
        <v>0.03</v>
      </c>
      <c r="O93" s="78"/>
      <c r="P93" s="7" t="s">
        <v>3</v>
      </c>
      <c r="Q93" s="7" t="s">
        <v>26</v>
      </c>
      <c r="R93" s="108">
        <f>1-(H93+K93+N93)</f>
        <v>0.69874</v>
      </c>
      <c r="S93" s="107"/>
      <c r="T93" s="84" t="s">
        <v>97</v>
      </c>
    </row>
    <row r="94" spans="1:14" ht="27" customHeight="1">
      <c r="A94" s="7" t="s">
        <v>85</v>
      </c>
      <c r="B94" s="7" t="s">
        <v>98</v>
      </c>
      <c r="F94" s="108">
        <f>R93</f>
        <v>0.69874</v>
      </c>
      <c r="G94" s="78"/>
      <c r="H94" s="82" t="s">
        <v>28</v>
      </c>
      <c r="I94" s="108">
        <f>ROUND(R80/100,3)</f>
        <v>0.448</v>
      </c>
      <c r="J94" s="78"/>
      <c r="K94" s="78" t="s">
        <v>26</v>
      </c>
      <c r="L94" s="108">
        <f>ROUND(F94*I94,3)</f>
        <v>0.313</v>
      </c>
      <c r="M94" s="108"/>
      <c r="N94" s="84" t="s">
        <v>97</v>
      </c>
    </row>
    <row r="95" spans="1:14" ht="27" customHeight="1">
      <c r="A95" s="7" t="s">
        <v>85</v>
      </c>
      <c r="B95" s="7" t="s">
        <v>99</v>
      </c>
      <c r="F95" s="108">
        <f>R93</f>
        <v>0.69874</v>
      </c>
      <c r="G95" s="78"/>
      <c r="H95" s="78" t="s">
        <v>75</v>
      </c>
      <c r="I95" s="108">
        <f>L94</f>
        <v>0.313</v>
      </c>
      <c r="J95" s="78"/>
      <c r="K95" s="78" t="s">
        <v>26</v>
      </c>
      <c r="L95" s="108">
        <f>ROUND(F95-I95,3)</f>
        <v>0.386</v>
      </c>
      <c r="M95" s="78"/>
      <c r="N95" s="84" t="s">
        <v>97</v>
      </c>
    </row>
    <row r="96" spans="1:17" ht="27" customHeight="1">
      <c r="A96" s="7" t="s">
        <v>85</v>
      </c>
      <c r="B96" s="7" t="s">
        <v>100</v>
      </c>
      <c r="F96" s="108">
        <f>L94</f>
        <v>0.313</v>
      </c>
      <c r="G96" s="78"/>
      <c r="H96" s="82" t="s">
        <v>28</v>
      </c>
      <c r="I96" s="78">
        <f>I60</f>
        <v>2.58</v>
      </c>
      <c r="J96" s="78"/>
      <c r="K96" s="82" t="s">
        <v>28</v>
      </c>
      <c r="L96" s="78">
        <v>1000</v>
      </c>
      <c r="M96" s="78"/>
      <c r="N96" s="78" t="s">
        <v>26</v>
      </c>
      <c r="O96" s="79">
        <f>ROUND(F96*I96*L96,0)</f>
        <v>808</v>
      </c>
      <c r="P96" s="79"/>
      <c r="Q96" s="7" t="s">
        <v>89</v>
      </c>
    </row>
    <row r="97" spans="1:17" ht="27" customHeight="1">
      <c r="A97" s="7" t="s">
        <v>85</v>
      </c>
      <c r="B97" s="7" t="s">
        <v>101</v>
      </c>
      <c r="F97" s="108">
        <f>L95</f>
        <v>0.386</v>
      </c>
      <c r="G97" s="78"/>
      <c r="H97" s="82" t="s">
        <v>28</v>
      </c>
      <c r="I97" s="107">
        <f>I61</f>
        <v>2.7</v>
      </c>
      <c r="J97" s="78"/>
      <c r="K97" s="82" t="s">
        <v>28</v>
      </c>
      <c r="L97" s="78">
        <v>1000</v>
      </c>
      <c r="M97" s="78"/>
      <c r="N97" s="78" t="s">
        <v>26</v>
      </c>
      <c r="O97" s="79">
        <f>ROUND(F97*I97*L97,0)</f>
        <v>1042</v>
      </c>
      <c r="P97" s="79"/>
      <c r="Q97" s="7" t="s">
        <v>89</v>
      </c>
    </row>
    <row r="98" spans="1:14" ht="27" customHeight="1">
      <c r="A98" s="7" t="s">
        <v>85</v>
      </c>
      <c r="B98" s="7" t="s">
        <v>102</v>
      </c>
      <c r="F98" s="79">
        <f>M90</f>
        <v>331</v>
      </c>
      <c r="G98" s="78"/>
      <c r="H98" s="82" t="s">
        <v>28</v>
      </c>
      <c r="I98" s="78">
        <f>I62</f>
        <v>0.003</v>
      </c>
      <c r="J98" s="78"/>
      <c r="K98" s="78" t="s">
        <v>26</v>
      </c>
      <c r="L98" s="107">
        <f>F98*I98</f>
        <v>0.993</v>
      </c>
      <c r="M98" s="107"/>
      <c r="N98" s="7" t="s">
        <v>89</v>
      </c>
    </row>
    <row r="99" ht="24.75" customHeight="1">
      <c r="A99" s="84" t="s">
        <v>127</v>
      </c>
    </row>
    <row r="100" ht="22.5" customHeight="1">
      <c r="A100" s="84" t="s">
        <v>105</v>
      </c>
    </row>
    <row r="101" spans="1:20" ht="21" customHeight="1">
      <c r="A101" s="31" t="s">
        <v>106</v>
      </c>
      <c r="B101" s="109"/>
      <c r="C101" s="32" t="s">
        <v>47</v>
      </c>
      <c r="D101" s="109"/>
      <c r="E101" s="32" t="s">
        <v>107</v>
      </c>
      <c r="F101" s="109"/>
      <c r="G101" s="32" t="s">
        <v>66</v>
      </c>
      <c r="H101" s="109"/>
      <c r="I101" s="86" t="s">
        <v>108</v>
      </c>
      <c r="J101" s="86"/>
      <c r="K101" s="86"/>
      <c r="L101" s="86"/>
      <c r="M101" s="86"/>
      <c r="N101" s="86"/>
      <c r="O101" s="86"/>
      <c r="P101" s="86"/>
      <c r="Q101" s="86"/>
      <c r="R101" s="87"/>
      <c r="S101" s="32" t="s">
        <v>69</v>
      </c>
      <c r="T101" s="109"/>
    </row>
    <row r="102" spans="1:20" ht="21" customHeight="1">
      <c r="A102" s="71"/>
      <c r="B102" s="88"/>
      <c r="C102" s="72" t="s">
        <v>109</v>
      </c>
      <c r="D102" s="88"/>
      <c r="E102" s="89"/>
      <c r="F102" s="88"/>
      <c r="G102" s="72" t="s">
        <v>110</v>
      </c>
      <c r="H102" s="88"/>
      <c r="I102" s="72" t="s">
        <v>111</v>
      </c>
      <c r="J102" s="88"/>
      <c r="K102" s="72" t="s">
        <v>67</v>
      </c>
      <c r="L102" s="88"/>
      <c r="M102" s="72" t="s">
        <v>112</v>
      </c>
      <c r="N102" s="88"/>
      <c r="O102" s="72" t="s">
        <v>113</v>
      </c>
      <c r="P102" s="88"/>
      <c r="Q102" s="72" t="s">
        <v>114</v>
      </c>
      <c r="R102" s="88"/>
      <c r="S102" s="89"/>
      <c r="T102" s="88"/>
    </row>
    <row r="103" spans="1:20" ht="21" customHeight="1">
      <c r="A103" s="71">
        <v>1</v>
      </c>
      <c r="B103" s="110" t="s">
        <v>97</v>
      </c>
      <c r="C103" s="111"/>
      <c r="D103" s="112"/>
      <c r="E103" s="51"/>
      <c r="F103" s="112"/>
      <c r="G103" s="51"/>
      <c r="H103" s="112"/>
      <c r="I103" s="94">
        <f>M90</f>
        <v>331</v>
      </c>
      <c r="J103" s="88"/>
      <c r="K103" s="94">
        <f>O89</f>
        <v>162.26</v>
      </c>
      <c r="L103" s="88"/>
      <c r="M103" s="94">
        <f>O96</f>
        <v>808</v>
      </c>
      <c r="N103" s="88"/>
      <c r="O103" s="94">
        <f>O97</f>
        <v>1042</v>
      </c>
      <c r="P103" s="88"/>
      <c r="Q103" s="92">
        <f>L98</f>
        <v>0.993</v>
      </c>
      <c r="R103" s="88"/>
      <c r="S103" s="111"/>
      <c r="T103" s="112"/>
    </row>
    <row r="104" spans="1:20" ht="21" customHeight="1">
      <c r="A104" s="71" t="s">
        <v>115</v>
      </c>
      <c r="B104" s="88"/>
      <c r="C104" s="94">
        <f>L89</f>
        <v>48.6</v>
      </c>
      <c r="D104" s="88"/>
      <c r="E104" s="72">
        <f>E70</f>
        <v>8</v>
      </c>
      <c r="F104" s="88"/>
      <c r="G104" s="94">
        <f>R80</f>
        <v>44.8</v>
      </c>
      <c r="H104" s="88"/>
      <c r="I104" s="113">
        <f>I103*0.04</f>
        <v>13.24</v>
      </c>
      <c r="J104" s="114"/>
      <c r="K104" s="113">
        <f>K103*0.04</f>
        <v>6.4904</v>
      </c>
      <c r="L104" s="114"/>
      <c r="M104" s="113">
        <f>M103*0.04</f>
        <v>32.32</v>
      </c>
      <c r="N104" s="114"/>
      <c r="O104" s="113">
        <f>O103*0.04</f>
        <v>41.68</v>
      </c>
      <c r="P104" s="114"/>
      <c r="Q104" s="113">
        <f>Q103*0.04</f>
        <v>0.03972</v>
      </c>
      <c r="R104" s="114"/>
      <c r="S104" s="89"/>
      <c r="T104" s="88"/>
    </row>
    <row r="105" ht="23.25" customHeight="1">
      <c r="A105" s="84" t="s">
        <v>116</v>
      </c>
    </row>
    <row r="106" spans="1:20" ht="16.5" customHeight="1">
      <c r="A106" s="85" t="s">
        <v>117</v>
      </c>
      <c r="B106" s="86"/>
      <c r="C106" s="86"/>
      <c r="D106" s="86"/>
      <c r="E106" s="87"/>
      <c r="F106" s="86" t="s">
        <v>118</v>
      </c>
      <c r="G106" s="86"/>
      <c r="H106" s="86"/>
      <c r="I106" s="86"/>
      <c r="J106" s="87"/>
      <c r="K106" s="86" t="s">
        <v>119</v>
      </c>
      <c r="L106" s="86"/>
      <c r="M106" s="86"/>
      <c r="N106" s="86"/>
      <c r="O106" s="87"/>
      <c r="P106" s="86" t="s">
        <v>120</v>
      </c>
      <c r="Q106" s="86"/>
      <c r="R106" s="86"/>
      <c r="S106" s="86"/>
      <c r="T106" s="87"/>
    </row>
    <row r="107" spans="1:20" ht="16.5" customHeight="1">
      <c r="A107" s="71">
        <v>6</v>
      </c>
      <c r="B107" s="72"/>
      <c r="C107" s="72"/>
      <c r="D107" s="72"/>
      <c r="E107" s="88"/>
      <c r="F107" s="72">
        <v>2.9</v>
      </c>
      <c r="G107" s="72"/>
      <c r="H107" s="72"/>
      <c r="I107" s="72"/>
      <c r="J107" s="88"/>
      <c r="K107" s="72" t="s">
        <v>121</v>
      </c>
      <c r="L107" s="72"/>
      <c r="M107" s="72"/>
      <c r="N107" s="72"/>
      <c r="O107" s="88"/>
      <c r="P107" s="89"/>
      <c r="Q107" s="72"/>
      <c r="R107" s="72"/>
      <c r="S107" s="72"/>
      <c r="T107" s="88"/>
    </row>
    <row r="108" ht="23.25" customHeight="1">
      <c r="A108" s="84" t="s">
        <v>128</v>
      </c>
    </row>
    <row r="109" ht="16.5" customHeight="1">
      <c r="B109" s="7" t="s">
        <v>122</v>
      </c>
    </row>
    <row r="110" spans="1:20" ht="16.5" customHeight="1">
      <c r="A110" s="85" t="s">
        <v>71</v>
      </c>
      <c r="B110" s="86"/>
      <c r="C110" s="86"/>
      <c r="D110" s="86"/>
      <c r="E110" s="87"/>
      <c r="F110" s="86" t="s">
        <v>72</v>
      </c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7"/>
      <c r="R110" s="86" t="s">
        <v>73</v>
      </c>
      <c r="S110" s="86"/>
      <c r="T110" s="87"/>
    </row>
    <row r="111" spans="1:20" ht="16.5" customHeight="1">
      <c r="A111" s="71" t="s">
        <v>129</v>
      </c>
      <c r="B111" s="72"/>
      <c r="C111" s="72"/>
      <c r="D111" s="86"/>
      <c r="E111" s="88"/>
      <c r="F111" s="89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88"/>
      <c r="R111" s="90">
        <f>R80</f>
        <v>44.8</v>
      </c>
      <c r="S111" s="72"/>
      <c r="T111" s="88"/>
    </row>
    <row r="112" spans="1:20" ht="16.5" customHeight="1">
      <c r="A112" s="71" t="s">
        <v>83</v>
      </c>
      <c r="B112" s="72"/>
      <c r="C112" s="72"/>
      <c r="D112" s="86"/>
      <c r="E112" s="88"/>
      <c r="F112" s="72" t="s">
        <v>124</v>
      </c>
      <c r="G112" s="92"/>
      <c r="H112" s="72"/>
      <c r="I112" s="72"/>
      <c r="J112" s="72"/>
      <c r="K112" s="72"/>
      <c r="L112" s="72"/>
      <c r="M112" s="72"/>
      <c r="N112" s="72"/>
      <c r="O112" s="72"/>
      <c r="P112" s="72"/>
      <c r="Q112" s="88"/>
      <c r="R112" s="92">
        <v>0</v>
      </c>
      <c r="S112" s="94"/>
      <c r="T112" s="95"/>
    </row>
    <row r="113" spans="1:20" ht="16.5" customHeight="1">
      <c r="A113" s="71" t="s">
        <v>78</v>
      </c>
      <c r="B113" s="72"/>
      <c r="C113" s="72"/>
      <c r="D113" s="86"/>
      <c r="E113" s="96"/>
      <c r="F113" s="72" t="s">
        <v>48</v>
      </c>
      <c r="G113" s="72">
        <f>G85</f>
        <v>4.5</v>
      </c>
      <c r="H113" s="72"/>
      <c r="I113" s="72" t="s">
        <v>75</v>
      </c>
      <c r="J113" s="72">
        <f>F107</f>
        <v>2.9</v>
      </c>
      <c r="K113" s="72"/>
      <c r="L113" s="72" t="s">
        <v>3</v>
      </c>
      <c r="M113" s="91" t="s">
        <v>28</v>
      </c>
      <c r="N113" s="72">
        <v>0.75</v>
      </c>
      <c r="O113" s="72"/>
      <c r="P113" s="72"/>
      <c r="Q113" s="77"/>
      <c r="R113" s="92">
        <f>ROUND((G113-J113)*N113,2)</f>
        <v>1.2</v>
      </c>
      <c r="S113" s="94"/>
      <c r="T113" s="95"/>
    </row>
    <row r="114" spans="1:20" ht="16.5" customHeight="1">
      <c r="A114" s="71" t="s">
        <v>81</v>
      </c>
      <c r="B114" s="72"/>
      <c r="C114" s="72"/>
      <c r="D114" s="86"/>
      <c r="E114" s="88"/>
      <c r="F114" s="116"/>
      <c r="G114" s="90">
        <f>R111</f>
        <v>44.8</v>
      </c>
      <c r="H114" s="72"/>
      <c r="I114" s="72" t="s">
        <v>44</v>
      </c>
      <c r="J114" s="92">
        <f>R112</f>
        <v>0</v>
      </c>
      <c r="K114" s="72"/>
      <c r="L114" s="72" t="s">
        <v>44</v>
      </c>
      <c r="M114" s="72"/>
      <c r="N114" s="92">
        <f>R113</f>
        <v>1.2</v>
      </c>
      <c r="O114" s="92"/>
      <c r="P114" s="117"/>
      <c r="Q114" s="77"/>
      <c r="R114" s="90">
        <f>ROUND(G114+J114+N114,2)</f>
        <v>46</v>
      </c>
      <c r="S114" s="94"/>
      <c r="T114" s="95"/>
    </row>
    <row r="115" ht="20.25" customHeight="1">
      <c r="B115" s="7" t="s">
        <v>125</v>
      </c>
    </row>
    <row r="116" spans="1:20" ht="16.5" customHeight="1">
      <c r="A116" s="85" t="s">
        <v>71</v>
      </c>
      <c r="B116" s="86"/>
      <c r="C116" s="86"/>
      <c r="D116" s="86"/>
      <c r="E116" s="87"/>
      <c r="F116" s="86" t="s">
        <v>72</v>
      </c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7"/>
      <c r="R116" s="86" t="s">
        <v>73</v>
      </c>
      <c r="S116" s="86"/>
      <c r="T116" s="87"/>
    </row>
    <row r="117" spans="1:20" ht="16.5" customHeight="1">
      <c r="A117" s="71" t="s">
        <v>129</v>
      </c>
      <c r="B117" s="72"/>
      <c r="C117" s="72"/>
      <c r="D117" s="86"/>
      <c r="E117" s="88"/>
      <c r="F117" s="89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88"/>
      <c r="R117" s="90">
        <f>R87</f>
        <v>162.26</v>
      </c>
      <c r="S117" s="72"/>
      <c r="T117" s="88"/>
    </row>
    <row r="118" spans="1:20" ht="16.5" customHeight="1">
      <c r="A118" s="71" t="s">
        <v>83</v>
      </c>
      <c r="B118" s="72"/>
      <c r="C118" s="72"/>
      <c r="D118" s="86"/>
      <c r="E118" s="88"/>
      <c r="F118" s="72" t="s">
        <v>48</v>
      </c>
      <c r="G118" s="94">
        <f>E104</f>
        <v>8</v>
      </c>
      <c r="H118" s="72" t="s">
        <v>75</v>
      </c>
      <c r="I118" s="90">
        <f>A107</f>
        <v>6</v>
      </c>
      <c r="J118" s="72" t="s">
        <v>3</v>
      </c>
      <c r="K118" s="91" t="s">
        <v>28</v>
      </c>
      <c r="L118" s="72">
        <v>-0.012</v>
      </c>
      <c r="M118" s="72"/>
      <c r="N118" s="91" t="s">
        <v>28</v>
      </c>
      <c r="O118" s="94">
        <f>R117</f>
        <v>162.26</v>
      </c>
      <c r="P118" s="72"/>
      <c r="Q118" s="100"/>
      <c r="R118" s="92">
        <f>ROUND((G118-I118)*L118*O118,2)</f>
        <v>-3.89</v>
      </c>
      <c r="S118" s="94"/>
      <c r="T118" s="95"/>
    </row>
    <row r="119" spans="1:20" ht="16.5" customHeight="1">
      <c r="A119" s="71" t="s">
        <v>78</v>
      </c>
      <c r="B119" s="72"/>
      <c r="C119" s="72"/>
      <c r="D119" s="86"/>
      <c r="E119" s="96"/>
      <c r="F119" s="72" t="s">
        <v>48</v>
      </c>
      <c r="G119" s="72">
        <f>G85</f>
        <v>4.5</v>
      </c>
      <c r="H119" s="72" t="s">
        <v>75</v>
      </c>
      <c r="I119" s="72">
        <f>F107</f>
        <v>2.9</v>
      </c>
      <c r="J119" s="72" t="s">
        <v>3</v>
      </c>
      <c r="K119" s="91" t="s">
        <v>28</v>
      </c>
      <c r="L119" s="72">
        <v>0.03</v>
      </c>
      <c r="M119" s="72"/>
      <c r="N119" s="91" t="s">
        <v>28</v>
      </c>
      <c r="O119" s="94">
        <f>R117</f>
        <v>162.26</v>
      </c>
      <c r="P119" s="72"/>
      <c r="Q119" s="77"/>
      <c r="R119" s="92">
        <f>ROUND((G119-I119)*L119*O119,2)</f>
        <v>7.79</v>
      </c>
      <c r="S119" s="94"/>
      <c r="T119" s="95"/>
    </row>
    <row r="120" spans="1:20" ht="16.5" customHeight="1">
      <c r="A120" s="71" t="s">
        <v>66</v>
      </c>
      <c r="B120" s="72"/>
      <c r="C120" s="72"/>
      <c r="D120" s="86"/>
      <c r="E120" s="96"/>
      <c r="F120" s="72" t="s">
        <v>48</v>
      </c>
      <c r="G120" s="90">
        <f>R114</f>
        <v>46</v>
      </c>
      <c r="H120" s="72"/>
      <c r="I120" s="72" t="s">
        <v>75</v>
      </c>
      <c r="J120" s="90">
        <f>G114</f>
        <v>44.8</v>
      </c>
      <c r="K120" s="72"/>
      <c r="L120" s="72" t="s">
        <v>3</v>
      </c>
      <c r="M120" s="72"/>
      <c r="N120" s="91" t="s">
        <v>28</v>
      </c>
      <c r="O120" s="72">
        <v>1.5</v>
      </c>
      <c r="P120" s="72"/>
      <c r="Q120" s="77"/>
      <c r="R120" s="92">
        <f>ROUND((G120-J120)*O120,2)</f>
        <v>1.8</v>
      </c>
      <c r="S120" s="94"/>
      <c r="T120" s="95"/>
    </row>
    <row r="121" spans="1:20" ht="16.5" customHeight="1">
      <c r="A121" s="71" t="s">
        <v>67</v>
      </c>
      <c r="B121" s="72"/>
      <c r="C121" s="72"/>
      <c r="D121" s="86"/>
      <c r="E121" s="88"/>
      <c r="F121" s="116"/>
      <c r="G121" s="90">
        <f>R117</f>
        <v>162.26</v>
      </c>
      <c r="H121" s="72"/>
      <c r="I121" s="72" t="s">
        <v>44</v>
      </c>
      <c r="J121" s="92">
        <f>R118</f>
        <v>-3.89</v>
      </c>
      <c r="K121" s="72"/>
      <c r="L121" s="72" t="s">
        <v>44</v>
      </c>
      <c r="M121" s="92">
        <f>R119</f>
        <v>7.79</v>
      </c>
      <c r="N121" s="72"/>
      <c r="O121" s="92" t="s">
        <v>44</v>
      </c>
      <c r="P121" s="92">
        <f>R120</f>
        <v>1.8</v>
      </c>
      <c r="Q121" s="118"/>
      <c r="R121" s="90">
        <f>ROUND(G121+J121+M121+P121,1)</f>
        <v>168</v>
      </c>
      <c r="S121" s="94"/>
      <c r="T121" s="95"/>
    </row>
    <row r="122" ht="23.25" customHeight="1">
      <c r="B122" s="84" t="s">
        <v>130</v>
      </c>
    </row>
    <row r="123" spans="1:18" ht="23.25" customHeight="1">
      <c r="A123" s="7" t="s">
        <v>85</v>
      </c>
      <c r="B123" s="7" t="s">
        <v>86</v>
      </c>
      <c r="F123" s="7" t="s">
        <v>34</v>
      </c>
      <c r="G123" s="7" t="s">
        <v>87</v>
      </c>
      <c r="L123" s="105">
        <f>C104</f>
        <v>48.6</v>
      </c>
      <c r="M123" s="84" t="s">
        <v>88</v>
      </c>
      <c r="O123" s="79">
        <f>R121</f>
        <v>168</v>
      </c>
      <c r="P123" s="83"/>
      <c r="Q123" s="7" t="s">
        <v>89</v>
      </c>
      <c r="R123" s="7" t="s">
        <v>90</v>
      </c>
    </row>
    <row r="124" spans="6:15" ht="23.25" customHeight="1">
      <c r="F124" s="7" t="s">
        <v>91</v>
      </c>
      <c r="G124" s="79">
        <f>O123</f>
        <v>168</v>
      </c>
      <c r="H124" s="78"/>
      <c r="I124" s="106" t="s">
        <v>76</v>
      </c>
      <c r="J124" s="107">
        <f>ROUND(L123/100,2)</f>
        <v>0.49</v>
      </c>
      <c r="K124" s="107"/>
      <c r="L124" s="7" t="s">
        <v>26</v>
      </c>
      <c r="M124" s="79">
        <f>ROUND(G124/J124,0)</f>
        <v>343</v>
      </c>
      <c r="N124" s="79"/>
      <c r="O124" s="7" t="s">
        <v>89</v>
      </c>
    </row>
    <row r="125" spans="1:15" ht="23.25" customHeight="1">
      <c r="A125" s="7" t="s">
        <v>85</v>
      </c>
      <c r="B125" s="7" t="s">
        <v>92</v>
      </c>
      <c r="F125" s="7" t="s">
        <v>91</v>
      </c>
      <c r="G125" s="79">
        <f>M124</f>
        <v>343</v>
      </c>
      <c r="H125" s="78"/>
      <c r="I125" s="106" t="s">
        <v>76</v>
      </c>
      <c r="J125" s="78">
        <f>J91</f>
        <v>3.05</v>
      </c>
      <c r="K125" s="78"/>
      <c r="L125" s="7" t="s">
        <v>26</v>
      </c>
      <c r="M125" s="79">
        <f>ROUND(G125/J125,0)</f>
        <v>112</v>
      </c>
      <c r="N125" s="79"/>
      <c r="O125" s="7" t="s">
        <v>93</v>
      </c>
    </row>
    <row r="126" spans="1:15" ht="23.25" customHeight="1">
      <c r="A126" s="7" t="s">
        <v>85</v>
      </c>
      <c r="B126" s="7" t="s">
        <v>94</v>
      </c>
      <c r="M126" s="78">
        <f>M92</f>
        <v>30</v>
      </c>
      <c r="N126" s="78"/>
      <c r="O126" s="7" t="s">
        <v>93</v>
      </c>
    </row>
    <row r="127" spans="1:20" ht="24.75" customHeight="1">
      <c r="A127" s="7" t="s">
        <v>85</v>
      </c>
      <c r="B127" s="7" t="s">
        <v>95</v>
      </c>
      <c r="F127" s="84" t="s">
        <v>96</v>
      </c>
      <c r="G127" s="7" t="s">
        <v>48</v>
      </c>
      <c r="H127" s="108">
        <f>M125/1000</f>
        <v>0.112</v>
      </c>
      <c r="I127" s="108"/>
      <c r="J127" s="108" t="s">
        <v>44</v>
      </c>
      <c r="K127" s="108">
        <f>O123/1000</f>
        <v>0.168</v>
      </c>
      <c r="L127" s="108"/>
      <c r="M127" s="78" t="s">
        <v>44</v>
      </c>
      <c r="N127" s="78">
        <f>M126/1000</f>
        <v>0.03</v>
      </c>
      <c r="O127" s="78"/>
      <c r="P127" s="7" t="s">
        <v>3</v>
      </c>
      <c r="Q127" s="7" t="s">
        <v>26</v>
      </c>
      <c r="R127" s="108">
        <f>1-(H127+K127+N127)</f>
        <v>0.69</v>
      </c>
      <c r="S127" s="107"/>
      <c r="T127" s="84" t="s">
        <v>97</v>
      </c>
    </row>
    <row r="128" spans="1:14" ht="22.5" customHeight="1">
      <c r="A128" s="7" t="s">
        <v>85</v>
      </c>
      <c r="B128" s="7" t="s">
        <v>98</v>
      </c>
      <c r="F128" s="108">
        <f>R127</f>
        <v>0.69</v>
      </c>
      <c r="G128" s="78"/>
      <c r="H128" s="82" t="s">
        <v>28</v>
      </c>
      <c r="I128" s="108">
        <f>ROUND(R114/100,3)</f>
        <v>0.46</v>
      </c>
      <c r="J128" s="78"/>
      <c r="K128" s="78" t="s">
        <v>26</v>
      </c>
      <c r="L128" s="108">
        <f>ROUND(F128*I128,3)</f>
        <v>0.317</v>
      </c>
      <c r="M128" s="108"/>
      <c r="N128" s="84" t="s">
        <v>97</v>
      </c>
    </row>
    <row r="129" spans="1:14" ht="26.25" customHeight="1">
      <c r="A129" s="7" t="s">
        <v>85</v>
      </c>
      <c r="B129" s="7" t="s">
        <v>99</v>
      </c>
      <c r="F129" s="108">
        <f>R127</f>
        <v>0.69</v>
      </c>
      <c r="G129" s="78"/>
      <c r="H129" s="78" t="s">
        <v>75</v>
      </c>
      <c r="I129" s="108">
        <f>L128</f>
        <v>0.317</v>
      </c>
      <c r="J129" s="78"/>
      <c r="K129" s="78" t="s">
        <v>26</v>
      </c>
      <c r="L129" s="108">
        <f>ROUND(F129-I129,3)</f>
        <v>0.373</v>
      </c>
      <c r="M129" s="78"/>
      <c r="N129" s="84" t="s">
        <v>97</v>
      </c>
    </row>
    <row r="130" spans="1:17" ht="27" customHeight="1">
      <c r="A130" s="7" t="s">
        <v>85</v>
      </c>
      <c r="B130" s="7" t="s">
        <v>100</v>
      </c>
      <c r="F130" s="108">
        <f>L128</f>
        <v>0.317</v>
      </c>
      <c r="G130" s="78"/>
      <c r="H130" s="82" t="s">
        <v>28</v>
      </c>
      <c r="I130" s="78">
        <f>I96</f>
        <v>2.58</v>
      </c>
      <c r="J130" s="78"/>
      <c r="K130" s="82" t="s">
        <v>28</v>
      </c>
      <c r="L130" s="78">
        <v>1000</v>
      </c>
      <c r="M130" s="78"/>
      <c r="N130" s="78" t="s">
        <v>26</v>
      </c>
      <c r="O130" s="79">
        <f>ROUND(F130*I130*L130,0)</f>
        <v>818</v>
      </c>
      <c r="P130" s="79"/>
      <c r="Q130" s="7" t="s">
        <v>89</v>
      </c>
    </row>
    <row r="131" spans="1:17" ht="23.25" customHeight="1">
      <c r="A131" s="7" t="s">
        <v>85</v>
      </c>
      <c r="B131" s="7" t="s">
        <v>101</v>
      </c>
      <c r="F131" s="108">
        <f>L129</f>
        <v>0.373</v>
      </c>
      <c r="G131" s="78"/>
      <c r="H131" s="82" t="s">
        <v>28</v>
      </c>
      <c r="I131" s="107">
        <f>I97</f>
        <v>2.7</v>
      </c>
      <c r="J131" s="78"/>
      <c r="K131" s="82" t="s">
        <v>28</v>
      </c>
      <c r="L131" s="78">
        <v>1000</v>
      </c>
      <c r="M131" s="78"/>
      <c r="N131" s="78" t="s">
        <v>26</v>
      </c>
      <c r="O131" s="79">
        <f>ROUND(F131*I131*L131,0)</f>
        <v>1007</v>
      </c>
      <c r="P131" s="79"/>
      <c r="Q131" s="7" t="s">
        <v>89</v>
      </c>
    </row>
    <row r="132" spans="1:14" ht="23.25" customHeight="1">
      <c r="A132" s="7" t="s">
        <v>85</v>
      </c>
      <c r="B132" s="7" t="s">
        <v>102</v>
      </c>
      <c r="F132" s="79">
        <f>M124</f>
        <v>343</v>
      </c>
      <c r="G132" s="78"/>
      <c r="H132" s="82" t="s">
        <v>28</v>
      </c>
      <c r="I132" s="78">
        <f>I98</f>
        <v>0.003</v>
      </c>
      <c r="J132" s="78"/>
      <c r="K132" s="78" t="s">
        <v>26</v>
      </c>
      <c r="L132" s="107">
        <f>F132*I132</f>
        <v>1.029</v>
      </c>
      <c r="M132" s="107"/>
      <c r="N132" s="7" t="s">
        <v>89</v>
      </c>
    </row>
    <row r="133" ht="16.5" customHeight="1">
      <c r="A133" s="84" t="s">
        <v>131</v>
      </c>
    </row>
    <row r="134" ht="14.25" customHeight="1">
      <c r="A134" s="84" t="s">
        <v>105</v>
      </c>
    </row>
    <row r="135" spans="1:20" ht="13.5" customHeight="1">
      <c r="A135" s="31" t="s">
        <v>106</v>
      </c>
      <c r="B135" s="109"/>
      <c r="C135" s="32" t="s">
        <v>47</v>
      </c>
      <c r="D135" s="109"/>
      <c r="E135" s="32" t="s">
        <v>107</v>
      </c>
      <c r="F135" s="109"/>
      <c r="G135" s="32" t="s">
        <v>66</v>
      </c>
      <c r="H135" s="109"/>
      <c r="I135" s="86" t="s">
        <v>108</v>
      </c>
      <c r="J135" s="86"/>
      <c r="K135" s="86"/>
      <c r="L135" s="86"/>
      <c r="M135" s="86"/>
      <c r="N135" s="86"/>
      <c r="O135" s="86"/>
      <c r="P135" s="86"/>
      <c r="Q135" s="86"/>
      <c r="R135" s="87"/>
      <c r="S135" s="32" t="s">
        <v>69</v>
      </c>
      <c r="T135" s="109"/>
    </row>
    <row r="136" spans="1:20" ht="15" customHeight="1">
      <c r="A136" s="71"/>
      <c r="B136" s="88"/>
      <c r="C136" s="72" t="s">
        <v>109</v>
      </c>
      <c r="D136" s="88"/>
      <c r="E136" s="89"/>
      <c r="F136" s="88"/>
      <c r="G136" s="72" t="s">
        <v>110</v>
      </c>
      <c r="H136" s="88"/>
      <c r="I136" s="72" t="s">
        <v>111</v>
      </c>
      <c r="J136" s="88"/>
      <c r="K136" s="72" t="s">
        <v>67</v>
      </c>
      <c r="L136" s="88"/>
      <c r="M136" s="72" t="s">
        <v>112</v>
      </c>
      <c r="N136" s="88"/>
      <c r="O136" s="72" t="s">
        <v>113</v>
      </c>
      <c r="P136" s="88"/>
      <c r="Q136" s="72" t="s">
        <v>114</v>
      </c>
      <c r="R136" s="88"/>
      <c r="S136" s="89"/>
      <c r="T136" s="88"/>
    </row>
    <row r="137" spans="1:20" ht="16.5" customHeight="1">
      <c r="A137" s="71">
        <v>1</v>
      </c>
      <c r="B137" s="110" t="s">
        <v>97</v>
      </c>
      <c r="C137" s="111"/>
      <c r="D137" s="112"/>
      <c r="E137" s="51"/>
      <c r="F137" s="112"/>
      <c r="G137" s="51"/>
      <c r="H137" s="112"/>
      <c r="I137" s="94">
        <f>M124</f>
        <v>343</v>
      </c>
      <c r="J137" s="88"/>
      <c r="K137" s="94">
        <f>O123</f>
        <v>168</v>
      </c>
      <c r="L137" s="88"/>
      <c r="M137" s="94">
        <f>O130</f>
        <v>818</v>
      </c>
      <c r="N137" s="88"/>
      <c r="O137" s="94">
        <f>O131</f>
        <v>1007</v>
      </c>
      <c r="P137" s="88"/>
      <c r="Q137" s="92">
        <f>L132</f>
        <v>1.029</v>
      </c>
      <c r="R137" s="88"/>
      <c r="S137" s="111"/>
      <c r="T137" s="112"/>
    </row>
    <row r="138" spans="1:20" ht="16.5" customHeight="1">
      <c r="A138" s="71" t="s">
        <v>115</v>
      </c>
      <c r="B138" s="88"/>
      <c r="C138" s="94">
        <f>L123</f>
        <v>48.6</v>
      </c>
      <c r="D138" s="88"/>
      <c r="E138" s="72">
        <f>E104</f>
        <v>8</v>
      </c>
      <c r="F138" s="88"/>
      <c r="G138" s="90">
        <f>R114</f>
        <v>46</v>
      </c>
      <c r="H138" s="88"/>
      <c r="I138" s="113">
        <f>I137*0.04</f>
        <v>13.72</v>
      </c>
      <c r="J138" s="114"/>
      <c r="K138" s="113">
        <f>K137*0.04</f>
        <v>6.72</v>
      </c>
      <c r="L138" s="114"/>
      <c r="M138" s="113">
        <f>M137*0.04</f>
        <v>32.72</v>
      </c>
      <c r="N138" s="114"/>
      <c r="O138" s="113">
        <f>O137*0.04</f>
        <v>40.28</v>
      </c>
      <c r="P138" s="114"/>
      <c r="Q138" s="113">
        <f>Q137*0.04</f>
        <v>0.041159999999999995</v>
      </c>
      <c r="R138" s="114"/>
      <c r="S138" s="89"/>
      <c r="T138" s="88"/>
    </row>
    <row r="139" ht="18.75" customHeight="1">
      <c r="A139" s="84" t="s">
        <v>116</v>
      </c>
    </row>
    <row r="140" spans="1:20" ht="16.5" customHeight="1">
      <c r="A140" s="85" t="s">
        <v>117</v>
      </c>
      <c r="B140" s="86"/>
      <c r="C140" s="86"/>
      <c r="D140" s="86"/>
      <c r="E140" s="87"/>
      <c r="F140" s="86" t="s">
        <v>118</v>
      </c>
      <c r="G140" s="86"/>
      <c r="H140" s="86"/>
      <c r="I140" s="86"/>
      <c r="J140" s="87"/>
      <c r="K140" s="86" t="s">
        <v>119</v>
      </c>
      <c r="L140" s="86"/>
      <c r="M140" s="86"/>
      <c r="N140" s="86"/>
      <c r="O140" s="87"/>
      <c r="P140" s="86" t="s">
        <v>120</v>
      </c>
      <c r="Q140" s="86"/>
      <c r="R140" s="86"/>
      <c r="S140" s="86"/>
      <c r="T140" s="87"/>
    </row>
    <row r="141" spans="1:20" ht="16.5" customHeight="1">
      <c r="A141" s="71">
        <v>8</v>
      </c>
      <c r="B141" s="72"/>
      <c r="C141" s="72"/>
      <c r="D141" s="72"/>
      <c r="E141" s="88"/>
      <c r="F141" s="72">
        <v>4.5</v>
      </c>
      <c r="G141" s="72"/>
      <c r="H141" s="72"/>
      <c r="I141" s="72"/>
      <c r="J141" s="88"/>
      <c r="K141" s="72" t="s">
        <v>132</v>
      </c>
      <c r="L141" s="72"/>
      <c r="M141" s="72"/>
      <c r="N141" s="72"/>
      <c r="O141" s="88"/>
      <c r="P141" s="89"/>
      <c r="Q141" s="72"/>
      <c r="R141" s="72"/>
      <c r="S141" s="72"/>
      <c r="T141" s="88"/>
    </row>
    <row r="142" ht="3" customHeight="1"/>
    <row r="143" ht="17.25" customHeight="1">
      <c r="A143" s="7" t="s">
        <v>197</v>
      </c>
    </row>
    <row r="144" ht="14.25" customHeight="1">
      <c r="B144" s="7" t="s">
        <v>133</v>
      </c>
    </row>
    <row r="145" ht="16.5" customHeight="1">
      <c r="A145" s="7" t="s">
        <v>134</v>
      </c>
    </row>
    <row r="146" spans="1:16" ht="16.5" customHeight="1">
      <c r="A146" s="7" t="s">
        <v>85</v>
      </c>
      <c r="B146" s="78" t="s">
        <v>135</v>
      </c>
      <c r="C146" s="78"/>
      <c r="D146" s="78"/>
      <c r="E146" s="79">
        <f>C138-5</f>
        <v>43.6</v>
      </c>
      <c r="F146" s="119" t="s">
        <v>11</v>
      </c>
      <c r="G146" s="78"/>
      <c r="H146" s="78" t="s">
        <v>136</v>
      </c>
      <c r="I146" s="78"/>
      <c r="J146" s="83">
        <f>G138</f>
        <v>46</v>
      </c>
      <c r="K146" s="78" t="s">
        <v>11</v>
      </c>
      <c r="L146" s="78"/>
      <c r="M146" s="78" t="s">
        <v>137</v>
      </c>
      <c r="N146" s="79">
        <f>K137</f>
        <v>168</v>
      </c>
      <c r="O146" s="78"/>
      <c r="P146" s="7" t="s">
        <v>89</v>
      </c>
    </row>
    <row r="147" spans="6:15" ht="15.75" customHeight="1">
      <c r="F147" s="7" t="s">
        <v>91</v>
      </c>
      <c r="G147" s="79">
        <f>N146</f>
        <v>168</v>
      </c>
      <c r="H147" s="78"/>
      <c r="I147" s="106" t="s">
        <v>76</v>
      </c>
      <c r="J147" s="107">
        <f>ROUND(E146/100,2)</f>
        <v>0.44</v>
      </c>
      <c r="K147" s="107"/>
      <c r="L147" s="7" t="s">
        <v>26</v>
      </c>
      <c r="M147" s="79">
        <f>ROUND(G147/J147,0)</f>
        <v>382</v>
      </c>
      <c r="N147" s="79"/>
      <c r="O147" s="7" t="s">
        <v>89</v>
      </c>
    </row>
    <row r="148" spans="1:15" ht="15.75" customHeight="1">
      <c r="A148" s="7" t="s">
        <v>85</v>
      </c>
      <c r="B148" s="7" t="s">
        <v>92</v>
      </c>
      <c r="F148" s="7" t="s">
        <v>91</v>
      </c>
      <c r="G148" s="79">
        <f>M147</f>
        <v>382</v>
      </c>
      <c r="H148" s="78"/>
      <c r="I148" s="106" t="s">
        <v>76</v>
      </c>
      <c r="J148" s="78">
        <f>J125</f>
        <v>3.05</v>
      </c>
      <c r="K148" s="78"/>
      <c r="L148" s="7" t="s">
        <v>26</v>
      </c>
      <c r="M148" s="79">
        <f>ROUND(G148/J148,0)</f>
        <v>125</v>
      </c>
      <c r="N148" s="79"/>
      <c r="O148" s="7" t="s">
        <v>93</v>
      </c>
    </row>
    <row r="149" spans="1:15" ht="15.75" customHeight="1">
      <c r="A149" s="7" t="s">
        <v>85</v>
      </c>
      <c r="B149" s="7" t="s">
        <v>94</v>
      </c>
      <c r="M149" s="78">
        <f>M126</f>
        <v>30</v>
      </c>
      <c r="N149" s="78"/>
      <c r="O149" s="7" t="s">
        <v>93</v>
      </c>
    </row>
    <row r="150" spans="1:20" ht="15.75" customHeight="1">
      <c r="A150" s="7" t="s">
        <v>85</v>
      </c>
      <c r="B150" s="7" t="s">
        <v>95</v>
      </c>
      <c r="F150" s="84" t="s">
        <v>96</v>
      </c>
      <c r="G150" s="7" t="s">
        <v>48</v>
      </c>
      <c r="H150" s="108">
        <f>M148/1000</f>
        <v>0.125</v>
      </c>
      <c r="I150" s="108"/>
      <c r="J150" s="108" t="s">
        <v>44</v>
      </c>
      <c r="K150" s="108">
        <f>N146/1000</f>
        <v>0.168</v>
      </c>
      <c r="L150" s="108"/>
      <c r="M150" s="78" t="s">
        <v>44</v>
      </c>
      <c r="N150" s="78">
        <f>M149/1000</f>
        <v>0.03</v>
      </c>
      <c r="O150" s="78"/>
      <c r="P150" s="7" t="s">
        <v>3</v>
      </c>
      <c r="Q150" s="7" t="s">
        <v>26</v>
      </c>
      <c r="R150" s="108">
        <f>1-(H150+K150+N150)</f>
        <v>0.6769999999999999</v>
      </c>
      <c r="S150" s="107"/>
      <c r="T150" s="84" t="s">
        <v>97</v>
      </c>
    </row>
    <row r="151" spans="1:14" ht="16.5" customHeight="1">
      <c r="A151" s="7" t="s">
        <v>85</v>
      </c>
      <c r="B151" s="7" t="s">
        <v>98</v>
      </c>
      <c r="F151" s="108">
        <f>R150</f>
        <v>0.6769999999999999</v>
      </c>
      <c r="G151" s="78"/>
      <c r="H151" s="82" t="s">
        <v>28</v>
      </c>
      <c r="I151" s="108">
        <f>ROUND(J146/100,3)</f>
        <v>0.46</v>
      </c>
      <c r="J151" s="78"/>
      <c r="K151" s="78" t="s">
        <v>26</v>
      </c>
      <c r="L151" s="108">
        <f>ROUND(F151*I151,3)</f>
        <v>0.311</v>
      </c>
      <c r="M151" s="108"/>
      <c r="N151" s="84" t="s">
        <v>97</v>
      </c>
    </row>
    <row r="152" spans="1:14" ht="16.5" customHeight="1">
      <c r="A152" s="7" t="s">
        <v>85</v>
      </c>
      <c r="B152" s="7" t="s">
        <v>99</v>
      </c>
      <c r="F152" s="108">
        <f>R150</f>
        <v>0.6769999999999999</v>
      </c>
      <c r="G152" s="78"/>
      <c r="H152" s="78" t="s">
        <v>75</v>
      </c>
      <c r="I152" s="108">
        <f>L151</f>
        <v>0.311</v>
      </c>
      <c r="J152" s="78"/>
      <c r="K152" s="78" t="s">
        <v>26</v>
      </c>
      <c r="L152" s="108">
        <f>ROUND(F152-I152,3)</f>
        <v>0.366</v>
      </c>
      <c r="M152" s="78"/>
      <c r="N152" s="84" t="s">
        <v>97</v>
      </c>
    </row>
    <row r="153" spans="1:17" ht="16.5" customHeight="1">
      <c r="A153" s="7" t="s">
        <v>85</v>
      </c>
      <c r="B153" s="7" t="s">
        <v>100</v>
      </c>
      <c r="F153" s="108">
        <f>L151</f>
        <v>0.311</v>
      </c>
      <c r="G153" s="78"/>
      <c r="H153" s="82" t="s">
        <v>28</v>
      </c>
      <c r="I153" s="78">
        <f>I130</f>
        <v>2.58</v>
      </c>
      <c r="J153" s="78"/>
      <c r="K153" s="82" t="s">
        <v>28</v>
      </c>
      <c r="L153" s="78">
        <v>1000</v>
      </c>
      <c r="M153" s="78"/>
      <c r="N153" s="78" t="s">
        <v>26</v>
      </c>
      <c r="O153" s="79">
        <f>ROUND(F153*I153*L153,0)</f>
        <v>802</v>
      </c>
      <c r="P153" s="79"/>
      <c r="Q153" s="7" t="s">
        <v>89</v>
      </c>
    </row>
    <row r="154" spans="1:17" ht="16.5" customHeight="1">
      <c r="A154" s="7" t="s">
        <v>85</v>
      </c>
      <c r="B154" s="7" t="s">
        <v>101</v>
      </c>
      <c r="F154" s="108">
        <f>L152</f>
        <v>0.366</v>
      </c>
      <c r="G154" s="78"/>
      <c r="H154" s="82" t="s">
        <v>28</v>
      </c>
      <c r="I154" s="107">
        <f>I131</f>
        <v>2.7</v>
      </c>
      <c r="J154" s="78"/>
      <c r="K154" s="82" t="s">
        <v>28</v>
      </c>
      <c r="L154" s="78">
        <v>1000</v>
      </c>
      <c r="M154" s="78"/>
      <c r="N154" s="78" t="s">
        <v>26</v>
      </c>
      <c r="O154" s="79">
        <f>ROUND(F154*I154*L154,0)</f>
        <v>988</v>
      </c>
      <c r="P154" s="79"/>
      <c r="Q154" s="7" t="s">
        <v>89</v>
      </c>
    </row>
    <row r="155" spans="1:14" ht="16.5" customHeight="1">
      <c r="A155" s="7" t="s">
        <v>85</v>
      </c>
      <c r="B155" s="7" t="s">
        <v>102</v>
      </c>
      <c r="F155" s="79">
        <f>M147</f>
        <v>382</v>
      </c>
      <c r="G155" s="78"/>
      <c r="H155" s="82" t="s">
        <v>28</v>
      </c>
      <c r="I155" s="78">
        <f>I132</f>
        <v>0.003</v>
      </c>
      <c r="J155" s="78"/>
      <c r="K155" s="78" t="s">
        <v>26</v>
      </c>
      <c r="L155" s="107">
        <f>F155*I155</f>
        <v>1.1460000000000001</v>
      </c>
      <c r="M155" s="107"/>
      <c r="N155" s="7" t="s">
        <v>89</v>
      </c>
    </row>
    <row r="156" ht="16.5" customHeight="1">
      <c r="A156" s="7" t="s">
        <v>138</v>
      </c>
    </row>
    <row r="157" spans="1:16" ht="16.5" customHeight="1">
      <c r="A157" s="7" t="s">
        <v>85</v>
      </c>
      <c r="B157" s="78" t="s">
        <v>135</v>
      </c>
      <c r="C157" s="78"/>
      <c r="D157" s="78"/>
      <c r="E157" s="79">
        <f>C138</f>
        <v>48.6</v>
      </c>
      <c r="F157" s="119" t="s">
        <v>11</v>
      </c>
      <c r="G157" s="78"/>
      <c r="H157" s="78" t="s">
        <v>136</v>
      </c>
      <c r="I157" s="78"/>
      <c r="J157" s="83">
        <f>G138</f>
        <v>46</v>
      </c>
      <c r="K157" s="78" t="s">
        <v>11</v>
      </c>
      <c r="L157" s="78"/>
      <c r="M157" s="78" t="s">
        <v>137</v>
      </c>
      <c r="N157" s="79">
        <f>K137</f>
        <v>168</v>
      </c>
      <c r="O157" s="78"/>
      <c r="P157" s="7" t="s">
        <v>89</v>
      </c>
    </row>
    <row r="158" spans="6:15" ht="18" customHeight="1">
      <c r="F158" s="7" t="s">
        <v>91</v>
      </c>
      <c r="G158" s="79">
        <f>N157</f>
        <v>168</v>
      </c>
      <c r="H158" s="78"/>
      <c r="I158" s="106" t="s">
        <v>76</v>
      </c>
      <c r="J158" s="107">
        <f>ROUND(E157/100,2)</f>
        <v>0.49</v>
      </c>
      <c r="K158" s="107"/>
      <c r="L158" s="7" t="s">
        <v>26</v>
      </c>
      <c r="M158" s="79">
        <f>ROUND(G158/J158,0)</f>
        <v>343</v>
      </c>
      <c r="N158" s="79"/>
      <c r="O158" s="7" t="s">
        <v>89</v>
      </c>
    </row>
    <row r="159" spans="1:15" ht="18" customHeight="1">
      <c r="A159" s="7" t="s">
        <v>85</v>
      </c>
      <c r="B159" s="7" t="s">
        <v>92</v>
      </c>
      <c r="F159" s="7" t="s">
        <v>91</v>
      </c>
      <c r="G159" s="79">
        <f>M158</f>
        <v>343</v>
      </c>
      <c r="H159" s="78"/>
      <c r="I159" s="106" t="s">
        <v>76</v>
      </c>
      <c r="J159" s="78">
        <f>J148</f>
        <v>3.05</v>
      </c>
      <c r="K159" s="78"/>
      <c r="L159" s="7" t="s">
        <v>26</v>
      </c>
      <c r="M159" s="79">
        <f>ROUND(G159/J159,0)</f>
        <v>112</v>
      </c>
      <c r="N159" s="79"/>
      <c r="O159" s="7" t="s">
        <v>93</v>
      </c>
    </row>
    <row r="160" spans="1:15" ht="18" customHeight="1">
      <c r="A160" s="7" t="s">
        <v>85</v>
      </c>
      <c r="B160" s="7" t="s">
        <v>94</v>
      </c>
      <c r="M160" s="78">
        <f>M149</f>
        <v>30</v>
      </c>
      <c r="N160" s="78"/>
      <c r="O160" s="7" t="s">
        <v>93</v>
      </c>
    </row>
    <row r="161" spans="1:20" ht="18" customHeight="1">
      <c r="A161" s="7" t="s">
        <v>85</v>
      </c>
      <c r="B161" s="7" t="s">
        <v>95</v>
      </c>
      <c r="F161" s="84" t="s">
        <v>96</v>
      </c>
      <c r="G161" s="7" t="s">
        <v>48</v>
      </c>
      <c r="H161" s="108">
        <f>M159/1000</f>
        <v>0.112</v>
      </c>
      <c r="I161" s="108"/>
      <c r="J161" s="108" t="s">
        <v>44</v>
      </c>
      <c r="K161" s="108">
        <f>N157/1000</f>
        <v>0.168</v>
      </c>
      <c r="L161" s="108"/>
      <c r="M161" s="78" t="s">
        <v>44</v>
      </c>
      <c r="N161" s="78">
        <f>M160/1000</f>
        <v>0.03</v>
      </c>
      <c r="O161" s="78"/>
      <c r="P161" s="7" t="s">
        <v>3</v>
      </c>
      <c r="Q161" s="7" t="s">
        <v>26</v>
      </c>
      <c r="R161" s="108">
        <f>1-(H161+K161+N161)</f>
        <v>0.69</v>
      </c>
      <c r="S161" s="107"/>
      <c r="T161" s="84" t="s">
        <v>97</v>
      </c>
    </row>
    <row r="162" spans="1:14" ht="18" customHeight="1">
      <c r="A162" s="7" t="s">
        <v>85</v>
      </c>
      <c r="B162" s="7" t="s">
        <v>98</v>
      </c>
      <c r="F162" s="108">
        <f>R161</f>
        <v>0.69</v>
      </c>
      <c r="G162" s="78"/>
      <c r="H162" s="82" t="s">
        <v>28</v>
      </c>
      <c r="I162" s="108">
        <f>ROUND(J157/100,3)</f>
        <v>0.46</v>
      </c>
      <c r="J162" s="78"/>
      <c r="K162" s="78" t="s">
        <v>26</v>
      </c>
      <c r="L162" s="108">
        <f>ROUND(F162*I162,3)</f>
        <v>0.317</v>
      </c>
      <c r="M162" s="108"/>
      <c r="N162" s="84" t="s">
        <v>97</v>
      </c>
    </row>
    <row r="163" spans="1:14" ht="18" customHeight="1">
      <c r="A163" s="7" t="s">
        <v>85</v>
      </c>
      <c r="B163" s="7" t="s">
        <v>99</v>
      </c>
      <c r="F163" s="108">
        <f>R161</f>
        <v>0.69</v>
      </c>
      <c r="G163" s="78"/>
      <c r="H163" s="78" t="s">
        <v>75</v>
      </c>
      <c r="I163" s="108">
        <f>L162</f>
        <v>0.317</v>
      </c>
      <c r="J163" s="78"/>
      <c r="K163" s="78" t="s">
        <v>26</v>
      </c>
      <c r="L163" s="108">
        <f>ROUND(F163-I163,3)</f>
        <v>0.373</v>
      </c>
      <c r="M163" s="78"/>
      <c r="N163" s="84" t="s">
        <v>97</v>
      </c>
    </row>
    <row r="164" spans="1:17" ht="18" customHeight="1">
      <c r="A164" s="7" t="s">
        <v>85</v>
      </c>
      <c r="B164" s="7" t="s">
        <v>100</v>
      </c>
      <c r="F164" s="108">
        <f>L162</f>
        <v>0.317</v>
      </c>
      <c r="G164" s="78"/>
      <c r="H164" s="82" t="s">
        <v>28</v>
      </c>
      <c r="I164" s="78">
        <f>I153</f>
        <v>2.58</v>
      </c>
      <c r="J164" s="78"/>
      <c r="K164" s="82" t="s">
        <v>28</v>
      </c>
      <c r="L164" s="78">
        <v>1000</v>
      </c>
      <c r="M164" s="78"/>
      <c r="N164" s="78" t="s">
        <v>26</v>
      </c>
      <c r="O164" s="79">
        <f>ROUND(F164*I164*L164,0)</f>
        <v>818</v>
      </c>
      <c r="P164" s="79"/>
      <c r="Q164" s="7" t="s">
        <v>89</v>
      </c>
    </row>
    <row r="165" spans="1:17" ht="18" customHeight="1">
      <c r="A165" s="7" t="s">
        <v>85</v>
      </c>
      <c r="B165" s="7" t="s">
        <v>101</v>
      </c>
      <c r="F165" s="108">
        <f>L163</f>
        <v>0.373</v>
      </c>
      <c r="G165" s="78"/>
      <c r="H165" s="82" t="s">
        <v>28</v>
      </c>
      <c r="I165" s="107">
        <f>I154</f>
        <v>2.7</v>
      </c>
      <c r="J165" s="78"/>
      <c r="K165" s="82" t="s">
        <v>28</v>
      </c>
      <c r="L165" s="78">
        <v>1000</v>
      </c>
      <c r="M165" s="78"/>
      <c r="N165" s="78" t="s">
        <v>26</v>
      </c>
      <c r="O165" s="79">
        <f>ROUND(F165*I165*L165,0)</f>
        <v>1007</v>
      </c>
      <c r="P165" s="79"/>
      <c r="Q165" s="7" t="s">
        <v>89</v>
      </c>
    </row>
    <row r="166" spans="1:14" ht="18" customHeight="1">
      <c r="A166" s="7" t="s">
        <v>85</v>
      </c>
      <c r="B166" s="7" t="s">
        <v>102</v>
      </c>
      <c r="F166" s="79">
        <f>M158</f>
        <v>343</v>
      </c>
      <c r="G166" s="78"/>
      <c r="H166" s="82" t="s">
        <v>28</v>
      </c>
      <c r="I166" s="78">
        <f>I155</f>
        <v>0.003</v>
      </c>
      <c r="J166" s="78"/>
      <c r="K166" s="78" t="s">
        <v>26</v>
      </c>
      <c r="L166" s="107">
        <f>F166*I166</f>
        <v>1.029</v>
      </c>
      <c r="M166" s="107"/>
      <c r="N166" s="7" t="s">
        <v>89</v>
      </c>
    </row>
    <row r="167" ht="21" customHeight="1">
      <c r="A167" s="84" t="s">
        <v>139</v>
      </c>
    </row>
    <row r="168" spans="1:16" ht="20.25" customHeight="1">
      <c r="A168" s="7" t="s">
        <v>85</v>
      </c>
      <c r="B168" s="78" t="s">
        <v>135</v>
      </c>
      <c r="C168" s="78"/>
      <c r="D168" s="78"/>
      <c r="E168" s="79">
        <f>C138+5</f>
        <v>53.6</v>
      </c>
      <c r="F168" s="119" t="s">
        <v>11</v>
      </c>
      <c r="G168" s="78"/>
      <c r="H168" s="78" t="s">
        <v>136</v>
      </c>
      <c r="I168" s="78"/>
      <c r="J168" s="83">
        <f>J157</f>
        <v>46</v>
      </c>
      <c r="K168" s="78" t="s">
        <v>11</v>
      </c>
      <c r="L168" s="78"/>
      <c r="M168" s="78" t="s">
        <v>137</v>
      </c>
      <c r="N168" s="79">
        <f>N157</f>
        <v>168</v>
      </c>
      <c r="O168" s="78"/>
      <c r="P168" s="7" t="s">
        <v>89</v>
      </c>
    </row>
    <row r="169" spans="6:15" ht="16.5" customHeight="1">
      <c r="F169" s="7" t="s">
        <v>91</v>
      </c>
      <c r="G169" s="79">
        <f>N168</f>
        <v>168</v>
      </c>
      <c r="H169" s="78"/>
      <c r="I169" s="106" t="s">
        <v>76</v>
      </c>
      <c r="J169" s="107">
        <f>ROUND(E168/100,2)</f>
        <v>0.54</v>
      </c>
      <c r="K169" s="107"/>
      <c r="L169" s="7" t="s">
        <v>26</v>
      </c>
      <c r="M169" s="79">
        <f>ROUND(G169/J169,0)</f>
        <v>311</v>
      </c>
      <c r="N169" s="79"/>
      <c r="O169" s="7" t="s">
        <v>89</v>
      </c>
    </row>
    <row r="170" spans="1:15" ht="16.5" customHeight="1">
      <c r="A170" s="7" t="s">
        <v>85</v>
      </c>
      <c r="B170" s="7" t="s">
        <v>92</v>
      </c>
      <c r="F170" s="7" t="s">
        <v>91</v>
      </c>
      <c r="G170" s="79">
        <f>M169</f>
        <v>311</v>
      </c>
      <c r="H170" s="78"/>
      <c r="I170" s="106" t="s">
        <v>76</v>
      </c>
      <c r="J170" s="78">
        <f>J159</f>
        <v>3.05</v>
      </c>
      <c r="K170" s="78"/>
      <c r="L170" s="7" t="s">
        <v>26</v>
      </c>
      <c r="M170" s="79">
        <f>ROUND(G170/J170,0)</f>
        <v>102</v>
      </c>
      <c r="N170" s="79"/>
      <c r="O170" s="7" t="s">
        <v>93</v>
      </c>
    </row>
    <row r="171" spans="1:15" ht="17.25" customHeight="1">
      <c r="A171" s="7" t="s">
        <v>85</v>
      </c>
      <c r="B171" s="7" t="s">
        <v>94</v>
      </c>
      <c r="M171" s="78">
        <f>M160</f>
        <v>30</v>
      </c>
      <c r="N171" s="78"/>
      <c r="O171" s="7" t="s">
        <v>93</v>
      </c>
    </row>
    <row r="172" spans="1:20" ht="17.25" customHeight="1">
      <c r="A172" s="7" t="s">
        <v>85</v>
      </c>
      <c r="B172" s="7" t="s">
        <v>95</v>
      </c>
      <c r="F172" s="84" t="s">
        <v>96</v>
      </c>
      <c r="G172" s="7" t="s">
        <v>48</v>
      </c>
      <c r="H172" s="108">
        <f>M170/1000</f>
        <v>0.102</v>
      </c>
      <c r="I172" s="108"/>
      <c r="J172" s="108" t="s">
        <v>44</v>
      </c>
      <c r="K172" s="108">
        <f>N168/1000</f>
        <v>0.168</v>
      </c>
      <c r="L172" s="108"/>
      <c r="M172" s="78" t="s">
        <v>44</v>
      </c>
      <c r="N172" s="78">
        <f>M171/1000</f>
        <v>0.03</v>
      </c>
      <c r="O172" s="78"/>
      <c r="P172" s="7" t="s">
        <v>3</v>
      </c>
      <c r="Q172" s="7" t="s">
        <v>26</v>
      </c>
      <c r="R172" s="108">
        <f>1-(H172+K172+N172)</f>
        <v>0.7</v>
      </c>
      <c r="S172" s="107"/>
      <c r="T172" s="84" t="s">
        <v>97</v>
      </c>
    </row>
    <row r="173" spans="1:14" ht="17.25" customHeight="1">
      <c r="A173" s="7" t="s">
        <v>85</v>
      </c>
      <c r="B173" s="7" t="s">
        <v>98</v>
      </c>
      <c r="F173" s="108">
        <f>R172</f>
        <v>0.7</v>
      </c>
      <c r="G173" s="78"/>
      <c r="H173" s="82" t="s">
        <v>28</v>
      </c>
      <c r="I173" s="108">
        <f>ROUND(J168/100,3)</f>
        <v>0.46</v>
      </c>
      <c r="J173" s="78"/>
      <c r="K173" s="78" t="s">
        <v>26</v>
      </c>
      <c r="L173" s="108">
        <f>ROUND(F173*I173,3)</f>
        <v>0.322</v>
      </c>
      <c r="M173" s="108"/>
      <c r="N173" s="84" t="s">
        <v>97</v>
      </c>
    </row>
    <row r="174" spans="1:14" ht="17.25" customHeight="1">
      <c r="A174" s="7" t="s">
        <v>85</v>
      </c>
      <c r="B174" s="7" t="s">
        <v>99</v>
      </c>
      <c r="F174" s="108">
        <f>R172</f>
        <v>0.7</v>
      </c>
      <c r="G174" s="78"/>
      <c r="H174" s="78" t="s">
        <v>75</v>
      </c>
      <c r="I174" s="108">
        <f>L173</f>
        <v>0.322</v>
      </c>
      <c r="J174" s="78"/>
      <c r="K174" s="78" t="s">
        <v>26</v>
      </c>
      <c r="L174" s="108">
        <f>ROUND(F174-I174,3)</f>
        <v>0.378</v>
      </c>
      <c r="M174" s="78"/>
      <c r="N174" s="84" t="s">
        <v>97</v>
      </c>
    </row>
    <row r="175" spans="1:17" ht="17.25" customHeight="1">
      <c r="A175" s="7" t="s">
        <v>85</v>
      </c>
      <c r="B175" s="7" t="s">
        <v>100</v>
      </c>
      <c r="F175" s="108">
        <f>L173</f>
        <v>0.322</v>
      </c>
      <c r="G175" s="78"/>
      <c r="H175" s="82" t="s">
        <v>28</v>
      </c>
      <c r="I175" s="78">
        <f>I164</f>
        <v>2.58</v>
      </c>
      <c r="J175" s="78"/>
      <c r="K175" s="82" t="s">
        <v>28</v>
      </c>
      <c r="L175" s="78">
        <v>1000</v>
      </c>
      <c r="M175" s="78"/>
      <c r="N175" s="78" t="s">
        <v>26</v>
      </c>
      <c r="O175" s="79">
        <f>ROUND(F175*I175*L175,0)</f>
        <v>831</v>
      </c>
      <c r="P175" s="79"/>
      <c r="Q175" s="7" t="s">
        <v>89</v>
      </c>
    </row>
    <row r="176" spans="1:17" ht="17.25" customHeight="1">
      <c r="A176" s="7" t="s">
        <v>85</v>
      </c>
      <c r="B176" s="7" t="s">
        <v>101</v>
      </c>
      <c r="F176" s="108">
        <f>L174</f>
        <v>0.378</v>
      </c>
      <c r="G176" s="51"/>
      <c r="H176" s="82" t="s">
        <v>28</v>
      </c>
      <c r="I176" s="107">
        <f>I165</f>
        <v>2.7</v>
      </c>
      <c r="J176" s="78"/>
      <c r="K176" s="82" t="s">
        <v>28</v>
      </c>
      <c r="L176" s="78">
        <v>1000</v>
      </c>
      <c r="M176" s="78"/>
      <c r="N176" s="78" t="s">
        <v>26</v>
      </c>
      <c r="O176" s="79">
        <f>ROUND(F176*I176*L176,0)</f>
        <v>1021</v>
      </c>
      <c r="P176" s="79"/>
      <c r="Q176" s="7" t="s">
        <v>89</v>
      </c>
    </row>
    <row r="177" spans="1:14" ht="21" customHeight="1">
      <c r="A177" s="7" t="s">
        <v>85</v>
      </c>
      <c r="B177" s="7" t="s">
        <v>102</v>
      </c>
      <c r="F177" s="79">
        <f>M169</f>
        <v>311</v>
      </c>
      <c r="G177" s="78"/>
      <c r="H177" s="82" t="s">
        <v>28</v>
      </c>
      <c r="I177" s="78">
        <f>I166</f>
        <v>0.003</v>
      </c>
      <c r="J177" s="78"/>
      <c r="K177" s="78" t="s">
        <v>26</v>
      </c>
      <c r="L177" s="107">
        <f>F177*I177</f>
        <v>0.933</v>
      </c>
      <c r="M177" s="107"/>
      <c r="N177" s="7" t="s">
        <v>89</v>
      </c>
    </row>
    <row r="178" ht="21.75" customHeight="1">
      <c r="A178" s="7" t="s">
        <v>140</v>
      </c>
    </row>
    <row r="179" spans="1:20" ht="21" customHeight="1">
      <c r="A179" s="31" t="s">
        <v>106</v>
      </c>
      <c r="B179" s="109"/>
      <c r="C179" s="32" t="s">
        <v>47</v>
      </c>
      <c r="D179" s="109"/>
      <c r="E179" s="32" t="s">
        <v>81</v>
      </c>
      <c r="F179" s="109"/>
      <c r="G179" s="86" t="s">
        <v>108</v>
      </c>
      <c r="H179" s="86"/>
      <c r="I179" s="86"/>
      <c r="J179" s="86"/>
      <c r="K179" s="86"/>
      <c r="L179" s="86"/>
      <c r="M179" s="86"/>
      <c r="N179" s="86"/>
      <c r="O179" s="86"/>
      <c r="P179" s="87"/>
      <c r="Q179" s="120" t="s">
        <v>141</v>
      </c>
      <c r="R179" s="120"/>
      <c r="S179" s="120"/>
      <c r="T179" s="121"/>
    </row>
    <row r="180" spans="1:20" ht="24.75" customHeight="1">
      <c r="A180" s="71"/>
      <c r="B180" s="88"/>
      <c r="C180" s="72" t="s">
        <v>109</v>
      </c>
      <c r="D180" s="88"/>
      <c r="E180" s="72" t="s">
        <v>109</v>
      </c>
      <c r="F180" s="88"/>
      <c r="G180" s="72" t="s">
        <v>111</v>
      </c>
      <c r="H180" s="88"/>
      <c r="I180" s="72" t="s">
        <v>67</v>
      </c>
      <c r="J180" s="88"/>
      <c r="K180" s="72" t="s">
        <v>112</v>
      </c>
      <c r="L180" s="88"/>
      <c r="M180" s="72" t="s">
        <v>113</v>
      </c>
      <c r="N180" s="88"/>
      <c r="O180" s="72" t="s">
        <v>114</v>
      </c>
      <c r="P180" s="88"/>
      <c r="Q180" s="77" t="s">
        <v>142</v>
      </c>
      <c r="R180" s="77" t="s">
        <v>143</v>
      </c>
      <c r="S180" s="76" t="s">
        <v>144</v>
      </c>
      <c r="T180" s="77"/>
    </row>
    <row r="181" spans="1:20" ht="24.75" customHeight="1">
      <c r="A181" s="66" t="s">
        <v>145</v>
      </c>
      <c r="B181" s="112"/>
      <c r="C181" s="111"/>
      <c r="D181" s="112"/>
      <c r="E181" s="51"/>
      <c r="F181" s="112"/>
      <c r="G181" s="94">
        <f>M147</f>
        <v>382</v>
      </c>
      <c r="H181" s="88"/>
      <c r="I181" s="94">
        <f>N146</f>
        <v>168</v>
      </c>
      <c r="J181" s="88"/>
      <c r="K181" s="94">
        <f>O153</f>
        <v>802</v>
      </c>
      <c r="L181" s="88"/>
      <c r="M181" s="94">
        <f>O154</f>
        <v>988</v>
      </c>
      <c r="N181" s="88"/>
      <c r="O181" s="92">
        <f>L166</f>
        <v>1.029</v>
      </c>
      <c r="P181" s="88"/>
      <c r="Q181" s="70"/>
      <c r="R181" s="70"/>
      <c r="S181" s="65"/>
      <c r="T181" s="70"/>
    </row>
    <row r="182" spans="1:22" ht="24.75" customHeight="1">
      <c r="A182" s="71"/>
      <c r="B182" s="88"/>
      <c r="C182" s="94">
        <f>E146</f>
        <v>43.6</v>
      </c>
      <c r="D182" s="88"/>
      <c r="E182" s="90">
        <f>J168</f>
        <v>46</v>
      </c>
      <c r="F182" s="88"/>
      <c r="G182" s="113">
        <f>G181*0.04</f>
        <v>15.280000000000001</v>
      </c>
      <c r="H182" s="114"/>
      <c r="I182" s="113">
        <f>I181*0.04</f>
        <v>6.72</v>
      </c>
      <c r="J182" s="114"/>
      <c r="K182" s="113">
        <f>K181*0.04</f>
        <v>32.08</v>
      </c>
      <c r="L182" s="114"/>
      <c r="M182" s="113">
        <f>M181*0.04</f>
        <v>39.52</v>
      </c>
      <c r="N182" s="114"/>
      <c r="O182" s="113">
        <f>O181*0.04</f>
        <v>0.041159999999999995</v>
      </c>
      <c r="P182" s="114"/>
      <c r="Q182" s="122">
        <v>7.5</v>
      </c>
      <c r="R182" s="122">
        <v>4.2</v>
      </c>
      <c r="S182" s="72">
        <v>285</v>
      </c>
      <c r="T182" s="88"/>
      <c r="V182" s="105">
        <f>I243</f>
        <v>320</v>
      </c>
    </row>
    <row r="183" spans="1:22" ht="24.75" customHeight="1">
      <c r="A183" s="66" t="s">
        <v>146</v>
      </c>
      <c r="B183" s="112"/>
      <c r="C183" s="111"/>
      <c r="D183" s="112"/>
      <c r="E183" s="51"/>
      <c r="F183" s="112"/>
      <c r="G183" s="94">
        <f>M158</f>
        <v>343</v>
      </c>
      <c r="H183" s="88"/>
      <c r="I183" s="94">
        <f>N157</f>
        <v>168</v>
      </c>
      <c r="J183" s="88"/>
      <c r="K183" s="94">
        <f>O164</f>
        <v>818</v>
      </c>
      <c r="L183" s="88"/>
      <c r="M183" s="94">
        <f>O165</f>
        <v>1007</v>
      </c>
      <c r="N183" s="88"/>
      <c r="O183" s="92">
        <f>L166</f>
        <v>1.029</v>
      </c>
      <c r="P183" s="88"/>
      <c r="Q183" s="123"/>
      <c r="R183" s="123"/>
      <c r="S183" s="65"/>
      <c r="T183" s="70"/>
      <c r="V183" s="136">
        <f>F212</f>
        <v>52.5</v>
      </c>
    </row>
    <row r="184" spans="1:20" ht="24.75" customHeight="1">
      <c r="A184" s="71"/>
      <c r="B184" s="88"/>
      <c r="C184" s="94">
        <f>E157</f>
        <v>48.6</v>
      </c>
      <c r="D184" s="88"/>
      <c r="E184" s="90">
        <f>J168</f>
        <v>46</v>
      </c>
      <c r="F184" s="88"/>
      <c r="G184" s="113">
        <f>G183*0.04</f>
        <v>13.72</v>
      </c>
      <c r="H184" s="114"/>
      <c r="I184" s="113">
        <f>I183*0.04</f>
        <v>6.72</v>
      </c>
      <c r="J184" s="114"/>
      <c r="K184" s="113">
        <f>K183*0.04</f>
        <v>32.72</v>
      </c>
      <c r="L184" s="114"/>
      <c r="M184" s="113">
        <f>M183*0.04</f>
        <v>40.28</v>
      </c>
      <c r="N184" s="114"/>
      <c r="O184" s="113">
        <f>O183*0.04</f>
        <v>0.041159999999999995</v>
      </c>
      <c r="P184" s="114"/>
      <c r="Q184" s="122">
        <v>8</v>
      </c>
      <c r="R184" s="122">
        <v>4.4</v>
      </c>
      <c r="S184" s="72">
        <v>279</v>
      </c>
      <c r="T184" s="88"/>
    </row>
    <row r="185" spans="1:20" ht="24.75" customHeight="1">
      <c r="A185" s="66" t="s">
        <v>147</v>
      </c>
      <c r="B185" s="112"/>
      <c r="C185" s="111"/>
      <c r="D185" s="112"/>
      <c r="E185" s="51"/>
      <c r="F185" s="112"/>
      <c r="G185" s="94">
        <f>M169</f>
        <v>311</v>
      </c>
      <c r="H185" s="88"/>
      <c r="I185" s="94">
        <f>N168</f>
        <v>168</v>
      </c>
      <c r="J185" s="88"/>
      <c r="K185" s="94">
        <f>O175</f>
        <v>831</v>
      </c>
      <c r="L185" s="88"/>
      <c r="M185" s="94">
        <f>O176</f>
        <v>1021</v>
      </c>
      <c r="N185" s="88"/>
      <c r="O185" s="92">
        <f>L177</f>
        <v>0.933</v>
      </c>
      <c r="P185" s="88"/>
      <c r="Q185" s="123"/>
      <c r="R185" s="123"/>
      <c r="S185" s="65"/>
      <c r="T185" s="70"/>
    </row>
    <row r="186" spans="1:20" ht="24.75" customHeight="1">
      <c r="A186" s="71"/>
      <c r="B186" s="88"/>
      <c r="C186" s="94">
        <f>E168</f>
        <v>53.6</v>
      </c>
      <c r="D186" s="88"/>
      <c r="E186" s="90">
        <f>E184</f>
        <v>46</v>
      </c>
      <c r="F186" s="88"/>
      <c r="G186" s="113">
        <f>G185*0.04</f>
        <v>12.44</v>
      </c>
      <c r="H186" s="114"/>
      <c r="I186" s="113">
        <f>I185*0.04</f>
        <v>6.72</v>
      </c>
      <c r="J186" s="114"/>
      <c r="K186" s="113">
        <f>K185*0.04</f>
        <v>33.24</v>
      </c>
      <c r="L186" s="114"/>
      <c r="M186" s="113">
        <f>M185*0.04</f>
        <v>40.84</v>
      </c>
      <c r="N186" s="114"/>
      <c r="O186" s="113">
        <f>O185*0.04</f>
        <v>0.037320000000000006</v>
      </c>
      <c r="P186" s="114"/>
      <c r="Q186" s="125">
        <v>9.5</v>
      </c>
      <c r="R186" s="122">
        <v>4.3</v>
      </c>
      <c r="S186" s="72">
        <v>251</v>
      </c>
      <c r="T186" s="88"/>
    </row>
    <row r="187" ht="8.25" customHeight="1"/>
    <row r="188" ht="21.75" customHeight="1">
      <c r="A188" s="7" t="s">
        <v>148</v>
      </c>
    </row>
    <row r="189" spans="1:3" ht="21.75" customHeight="1">
      <c r="A189" s="7" t="s">
        <v>149</v>
      </c>
      <c r="B189" s="7" t="s">
        <v>75</v>
      </c>
      <c r="C189" s="7" t="s">
        <v>150</v>
      </c>
    </row>
    <row r="190" spans="3:9" ht="21.75" customHeight="1">
      <c r="C190" s="7" t="s">
        <v>151</v>
      </c>
      <c r="D190" s="7" t="s">
        <v>26</v>
      </c>
      <c r="E190" s="7" t="s">
        <v>152</v>
      </c>
      <c r="F190" s="7" t="s">
        <v>44</v>
      </c>
      <c r="G190" s="7" t="s">
        <v>153</v>
      </c>
      <c r="I190" s="84" t="s">
        <v>154</v>
      </c>
    </row>
    <row r="191" spans="2:3" ht="18" customHeight="1">
      <c r="B191" s="7" t="s">
        <v>75</v>
      </c>
      <c r="C191" s="7" t="s">
        <v>155</v>
      </c>
    </row>
    <row r="192" spans="1:20" ht="17.25" customHeight="1">
      <c r="A192" s="85" t="s">
        <v>156</v>
      </c>
      <c r="B192" s="87"/>
      <c r="C192" s="86" t="s">
        <v>157</v>
      </c>
      <c r="D192" s="86"/>
      <c r="E192" s="86"/>
      <c r="F192" s="87"/>
      <c r="G192" s="86" t="s">
        <v>151</v>
      </c>
      <c r="H192" s="86"/>
      <c r="I192" s="86"/>
      <c r="J192" s="86"/>
      <c r="K192" s="87"/>
      <c r="L192" s="86" t="s">
        <v>158</v>
      </c>
      <c r="M192" s="86"/>
      <c r="N192" s="86"/>
      <c r="O192" s="86"/>
      <c r="P192" s="87"/>
      <c r="Q192" s="86" t="s">
        <v>159</v>
      </c>
      <c r="R192" s="86"/>
      <c r="S192" s="86"/>
      <c r="T192" s="87"/>
    </row>
    <row r="193" spans="1:20" ht="17.25" customHeight="1">
      <c r="A193" s="71">
        <v>1</v>
      </c>
      <c r="B193" s="88"/>
      <c r="C193" s="113">
        <f>ROUND(1/C182*100,3)</f>
        <v>2.294</v>
      </c>
      <c r="D193" s="72"/>
      <c r="E193" s="72"/>
      <c r="F193" s="88"/>
      <c r="G193" s="72">
        <f>S182</f>
        <v>285</v>
      </c>
      <c r="H193" s="72"/>
      <c r="I193" s="72"/>
      <c r="J193" s="72"/>
      <c r="K193" s="88"/>
      <c r="L193" s="113">
        <f>ROUND(C193*C193,3)</f>
        <v>5.262</v>
      </c>
      <c r="M193" s="72"/>
      <c r="N193" s="72"/>
      <c r="O193" s="72"/>
      <c r="P193" s="88"/>
      <c r="Q193" s="113">
        <f>ROUND(C193*G193,3)</f>
        <v>653.79</v>
      </c>
      <c r="R193" s="72"/>
      <c r="S193" s="72"/>
      <c r="T193" s="88"/>
    </row>
    <row r="194" spans="1:20" ht="17.25" customHeight="1">
      <c r="A194" s="71">
        <v>2</v>
      </c>
      <c r="B194" s="88"/>
      <c r="C194" s="113">
        <f>ROUND(1/C184*100,3)</f>
        <v>2.058</v>
      </c>
      <c r="D194" s="72"/>
      <c r="E194" s="72"/>
      <c r="F194" s="88"/>
      <c r="G194" s="72">
        <f>S184</f>
        <v>279</v>
      </c>
      <c r="H194" s="72"/>
      <c r="I194" s="72"/>
      <c r="J194" s="72"/>
      <c r="K194" s="88"/>
      <c r="L194" s="113">
        <f>ROUND(C194*C194,3)</f>
        <v>4.235</v>
      </c>
      <c r="M194" s="72"/>
      <c r="N194" s="72"/>
      <c r="O194" s="72"/>
      <c r="P194" s="88"/>
      <c r="Q194" s="113">
        <f>ROUND(C194*G194,3)</f>
        <v>574.182</v>
      </c>
      <c r="R194" s="72"/>
      <c r="S194" s="72"/>
      <c r="T194" s="88"/>
    </row>
    <row r="195" spans="1:20" ht="17.25" customHeight="1">
      <c r="A195" s="71">
        <v>3</v>
      </c>
      <c r="B195" s="88"/>
      <c r="C195" s="113">
        <f>ROUND(1/C186*100,3)</f>
        <v>1.866</v>
      </c>
      <c r="D195" s="72"/>
      <c r="E195" s="72"/>
      <c r="F195" s="88"/>
      <c r="G195" s="72">
        <f>S186</f>
        <v>251</v>
      </c>
      <c r="H195" s="72"/>
      <c r="I195" s="72"/>
      <c r="J195" s="72"/>
      <c r="K195" s="88"/>
      <c r="L195" s="113">
        <f>ROUND(C195*C195,3)</f>
        <v>3.482</v>
      </c>
      <c r="M195" s="72"/>
      <c r="N195" s="72"/>
      <c r="O195" s="72"/>
      <c r="P195" s="88"/>
      <c r="Q195" s="113">
        <f>ROUND(C195*G195,3)</f>
        <v>468.366</v>
      </c>
      <c r="R195" s="72"/>
      <c r="S195" s="72"/>
      <c r="T195" s="88"/>
    </row>
    <row r="196" spans="1:20" ht="17.25" customHeight="1">
      <c r="A196" s="71" t="s">
        <v>160</v>
      </c>
      <c r="B196" s="88"/>
      <c r="C196" s="113">
        <f>SUM(C193:C195)</f>
        <v>6.218</v>
      </c>
      <c r="D196" s="72"/>
      <c r="E196" s="72"/>
      <c r="F196" s="88"/>
      <c r="G196" s="72">
        <f>SUM(G193:G195)</f>
        <v>815</v>
      </c>
      <c r="H196" s="72"/>
      <c r="I196" s="72"/>
      <c r="J196" s="72"/>
      <c r="K196" s="88"/>
      <c r="L196" s="113">
        <f>SUM(L193:L195)</f>
        <v>12.979</v>
      </c>
      <c r="M196" s="72"/>
      <c r="N196" s="72"/>
      <c r="O196" s="72"/>
      <c r="P196" s="88"/>
      <c r="Q196" s="113">
        <f>SUM(Q193:Q195)</f>
        <v>1696.338</v>
      </c>
      <c r="R196" s="72"/>
      <c r="S196" s="72"/>
      <c r="T196" s="88"/>
    </row>
    <row r="197" spans="2:16" ht="16.5" customHeight="1">
      <c r="B197" s="7" t="s">
        <v>75</v>
      </c>
      <c r="C197" s="7" t="s">
        <v>161</v>
      </c>
      <c r="P197" s="65"/>
    </row>
    <row r="198" ht="10.5" customHeight="1"/>
    <row r="199" spans="3:17" ht="16.5" customHeight="1">
      <c r="C199" s="7" t="s">
        <v>162</v>
      </c>
      <c r="E199" s="126" t="s">
        <v>163</v>
      </c>
      <c r="F199" s="76"/>
      <c r="G199" s="76"/>
      <c r="H199" s="126" t="s">
        <v>164</v>
      </c>
      <c r="I199" s="76"/>
      <c r="J199" s="127" t="s">
        <v>26</v>
      </c>
      <c r="L199" s="72">
        <f>ROUND((L196*G196-C196*Q196),3)</f>
        <v>30.055</v>
      </c>
      <c r="M199" s="72"/>
      <c r="O199" s="7" t="s">
        <v>26</v>
      </c>
      <c r="P199" s="107">
        <f>ROUND(L199/L200,2)</f>
        <v>110.09</v>
      </c>
      <c r="Q199" s="108"/>
    </row>
    <row r="200" spans="5:13" ht="16.5" customHeight="1">
      <c r="E200" s="78" t="s">
        <v>165</v>
      </c>
      <c r="F200" s="78"/>
      <c r="G200" s="78" t="s">
        <v>75</v>
      </c>
      <c r="H200" s="7" t="s">
        <v>198</v>
      </c>
      <c r="L200" s="108">
        <f>ROUND(3*L196-C196*C196,3)</f>
        <v>0.273</v>
      </c>
      <c r="M200" s="78"/>
    </row>
    <row r="201" ht="16.5" customHeight="1"/>
    <row r="202" spans="3:17" ht="16.5" customHeight="1">
      <c r="C202" s="7" t="s">
        <v>166</v>
      </c>
      <c r="E202" s="76" t="s">
        <v>167</v>
      </c>
      <c r="F202" s="76"/>
      <c r="G202" s="72" t="s">
        <v>75</v>
      </c>
      <c r="H202" s="76" t="s">
        <v>168</v>
      </c>
      <c r="I202" s="76"/>
      <c r="J202" s="127" t="s">
        <v>26</v>
      </c>
      <c r="L202" s="113">
        <f>ROUND((3*Q196)-(C196*G196),3)</f>
        <v>21.344</v>
      </c>
      <c r="M202" s="113"/>
      <c r="O202" s="7" t="s">
        <v>26</v>
      </c>
      <c r="P202" s="107">
        <f>ROUND(L202/L203,2)</f>
        <v>78.18</v>
      </c>
      <c r="Q202" s="107"/>
    </row>
    <row r="203" spans="5:13" ht="16.5" customHeight="1">
      <c r="E203" s="7" t="s">
        <v>165</v>
      </c>
      <c r="G203" s="78" t="s">
        <v>75</v>
      </c>
      <c r="H203" s="7" t="s">
        <v>198</v>
      </c>
      <c r="L203" s="108">
        <f>ROUND(3*L196-C196*C196,3)</f>
        <v>0.273</v>
      </c>
      <c r="M203" s="108"/>
    </row>
    <row r="204" spans="23:24" ht="8.25" customHeight="1">
      <c r="W204" s="105">
        <f>C182</f>
        <v>43.6</v>
      </c>
      <c r="X204" s="7">
        <f>S182</f>
        <v>285</v>
      </c>
    </row>
    <row r="205" spans="2:24" ht="16.5" customHeight="1">
      <c r="B205" s="7" t="s">
        <v>75</v>
      </c>
      <c r="C205" s="84" t="s">
        <v>169</v>
      </c>
      <c r="M205" s="7" t="s">
        <v>170</v>
      </c>
      <c r="W205" s="105">
        <f>C184</f>
        <v>48.6</v>
      </c>
      <c r="X205" s="7">
        <f>S184</f>
        <v>279</v>
      </c>
    </row>
    <row r="206" spans="23:24" ht="16.5" customHeight="1">
      <c r="W206" s="105">
        <f>C186</f>
        <v>53.6</v>
      </c>
      <c r="X206" s="7">
        <f>S186</f>
        <v>251</v>
      </c>
    </row>
    <row r="207" spans="3:18" ht="16.5" customHeight="1">
      <c r="C207" s="79">
        <f>J19</f>
        <v>259</v>
      </c>
      <c r="D207" s="79"/>
      <c r="E207" s="78" t="s">
        <v>26</v>
      </c>
      <c r="F207" s="107">
        <f>P199</f>
        <v>110.09</v>
      </c>
      <c r="G207" s="78"/>
      <c r="H207" s="78" t="s">
        <v>44</v>
      </c>
      <c r="I207" s="107">
        <f>P202</f>
        <v>78.18</v>
      </c>
      <c r="J207" s="78"/>
      <c r="K207" s="7" t="s">
        <v>45</v>
      </c>
      <c r="L207" s="78"/>
      <c r="M207" s="78"/>
      <c r="N207" s="107"/>
      <c r="O207" s="78"/>
      <c r="Q207" s="107"/>
      <c r="R207" s="107"/>
    </row>
    <row r="208" ht="16.5" customHeight="1"/>
    <row r="209" spans="3:11" ht="16.5" customHeight="1">
      <c r="C209" s="7" t="s">
        <v>45</v>
      </c>
      <c r="E209" s="78" t="s">
        <v>26</v>
      </c>
      <c r="F209" s="92">
        <f>ROUND(C207-F207,2)</f>
        <v>148.91</v>
      </c>
      <c r="G209" s="94"/>
      <c r="H209" s="78" t="s">
        <v>26</v>
      </c>
      <c r="I209" s="107">
        <f>ROUND(F209/F210,2)</f>
        <v>1.9</v>
      </c>
      <c r="J209" s="107"/>
      <c r="K209" s="119"/>
    </row>
    <row r="210" spans="6:7" ht="16.5" customHeight="1">
      <c r="F210" s="107">
        <f>I207</f>
        <v>78.18</v>
      </c>
      <c r="G210" s="78"/>
    </row>
    <row r="211" ht="16.5" customHeight="1"/>
    <row r="212" spans="3:8" ht="16.5" customHeight="1">
      <c r="C212" s="7" t="s">
        <v>57</v>
      </c>
      <c r="D212" s="7" t="s">
        <v>47</v>
      </c>
      <c r="E212" s="7" t="s">
        <v>26</v>
      </c>
      <c r="F212" s="83">
        <v>52.5</v>
      </c>
      <c r="G212" s="83"/>
      <c r="H212" s="7" t="s">
        <v>11</v>
      </c>
    </row>
    <row r="213" ht="16.5" customHeight="1"/>
    <row r="214" ht="16.5" customHeight="1"/>
    <row r="215" ht="16.5" customHeight="1"/>
    <row r="216" ht="16.5" customHeight="1"/>
    <row r="217" ht="16.5" customHeight="1">
      <c r="A217" s="7" t="s">
        <v>171</v>
      </c>
    </row>
    <row r="218" spans="1:18" ht="16.5" customHeight="1">
      <c r="A218" s="7" t="s">
        <v>85</v>
      </c>
      <c r="B218" s="7" t="s">
        <v>86</v>
      </c>
      <c r="F218" s="7" t="s">
        <v>34</v>
      </c>
      <c r="G218" s="7" t="s">
        <v>87</v>
      </c>
      <c r="L218" s="115">
        <f>F212</f>
        <v>52.5</v>
      </c>
      <c r="M218" s="84" t="s">
        <v>88</v>
      </c>
      <c r="O218" s="79">
        <f>K233</f>
        <v>168</v>
      </c>
      <c r="P218" s="83"/>
      <c r="Q218" s="7" t="s">
        <v>89</v>
      </c>
      <c r="R218" s="7" t="s">
        <v>90</v>
      </c>
    </row>
    <row r="219" spans="6:15" ht="16.5" customHeight="1">
      <c r="F219" s="7" t="s">
        <v>91</v>
      </c>
      <c r="G219" s="79">
        <f>O218</f>
        <v>168</v>
      </c>
      <c r="H219" s="78"/>
      <c r="I219" s="106" t="s">
        <v>76</v>
      </c>
      <c r="J219" s="107">
        <f>ROUND(L218/100,2)</f>
        <v>0.53</v>
      </c>
      <c r="K219" s="107"/>
      <c r="L219" s="7" t="s">
        <v>26</v>
      </c>
      <c r="M219" s="79">
        <f>I233</f>
        <v>320</v>
      </c>
      <c r="N219" s="79"/>
      <c r="O219" s="7" t="s">
        <v>89</v>
      </c>
    </row>
    <row r="220" spans="1:15" ht="16.5" customHeight="1">
      <c r="A220" s="7" t="s">
        <v>85</v>
      </c>
      <c r="B220" s="7" t="s">
        <v>92</v>
      </c>
      <c r="F220" s="7" t="s">
        <v>91</v>
      </c>
      <c r="G220" s="79">
        <f>M219</f>
        <v>320</v>
      </c>
      <c r="H220" s="78"/>
      <c r="I220" s="106" t="s">
        <v>76</v>
      </c>
      <c r="J220" s="78">
        <f>J170</f>
        <v>3.05</v>
      </c>
      <c r="K220" s="78"/>
      <c r="L220" s="7" t="s">
        <v>26</v>
      </c>
      <c r="M220" s="79">
        <f>G220/J220</f>
        <v>104.91803278688525</v>
      </c>
      <c r="N220" s="79"/>
      <c r="O220" s="7" t="s">
        <v>93</v>
      </c>
    </row>
    <row r="221" spans="1:15" ht="16.5" customHeight="1">
      <c r="A221" s="7" t="s">
        <v>85</v>
      </c>
      <c r="B221" s="7" t="s">
        <v>94</v>
      </c>
      <c r="M221" s="78">
        <f>M171</f>
        <v>30</v>
      </c>
      <c r="N221" s="78"/>
      <c r="O221" s="7" t="s">
        <v>93</v>
      </c>
    </row>
    <row r="222" spans="1:20" ht="16.5" customHeight="1">
      <c r="A222" s="7" t="s">
        <v>85</v>
      </c>
      <c r="B222" s="7" t="s">
        <v>95</v>
      </c>
      <c r="F222" s="84" t="s">
        <v>96</v>
      </c>
      <c r="G222" s="7" t="s">
        <v>48</v>
      </c>
      <c r="H222" s="108">
        <f>M220/1000</f>
        <v>0.10491803278688525</v>
      </c>
      <c r="I222" s="108"/>
      <c r="J222" s="108" t="s">
        <v>44</v>
      </c>
      <c r="K222" s="108">
        <f>O218/1000</f>
        <v>0.168</v>
      </c>
      <c r="L222" s="108"/>
      <c r="M222" s="78" t="s">
        <v>44</v>
      </c>
      <c r="N222" s="78">
        <f>M221/1000</f>
        <v>0.03</v>
      </c>
      <c r="O222" s="78"/>
      <c r="P222" s="7" t="s">
        <v>3</v>
      </c>
      <c r="Q222" s="7" t="s">
        <v>26</v>
      </c>
      <c r="R222" s="128">
        <f>1-(H222+K222+N222)</f>
        <v>0.6970819672131148</v>
      </c>
      <c r="S222" s="107"/>
      <c r="T222" s="84" t="s">
        <v>97</v>
      </c>
    </row>
    <row r="223" spans="1:14" ht="16.5" customHeight="1">
      <c r="A223" s="7" t="s">
        <v>85</v>
      </c>
      <c r="B223" s="7" t="s">
        <v>98</v>
      </c>
      <c r="F223" s="128">
        <f>R222</f>
        <v>0.6970819672131148</v>
      </c>
      <c r="G223" s="78"/>
      <c r="H223" s="82" t="s">
        <v>28</v>
      </c>
      <c r="I223" s="128">
        <f>ROUND(E186/100,4)</f>
        <v>0.46</v>
      </c>
      <c r="J223" s="128"/>
      <c r="K223" s="78" t="s">
        <v>26</v>
      </c>
      <c r="L223" s="128">
        <f>ROUND(F223*I223,4)</f>
        <v>0.3207</v>
      </c>
      <c r="M223" s="128"/>
      <c r="N223" s="84" t="s">
        <v>97</v>
      </c>
    </row>
    <row r="224" spans="1:14" ht="16.5" customHeight="1">
      <c r="A224" s="7" t="s">
        <v>85</v>
      </c>
      <c r="B224" s="7" t="s">
        <v>99</v>
      </c>
      <c r="F224" s="128">
        <f>R222</f>
        <v>0.6970819672131148</v>
      </c>
      <c r="G224" s="78"/>
      <c r="H224" s="78" t="s">
        <v>75</v>
      </c>
      <c r="I224" s="128">
        <f>L223</f>
        <v>0.3207</v>
      </c>
      <c r="J224" s="128"/>
      <c r="K224" s="78" t="s">
        <v>26</v>
      </c>
      <c r="L224" s="128">
        <f>ROUND(F224-I224,4)</f>
        <v>0.3764</v>
      </c>
      <c r="M224" s="128"/>
      <c r="N224" s="84" t="s">
        <v>97</v>
      </c>
    </row>
    <row r="225" spans="1:17" ht="16.5" customHeight="1">
      <c r="A225" s="7" t="s">
        <v>85</v>
      </c>
      <c r="B225" s="7" t="s">
        <v>100</v>
      </c>
      <c r="F225" s="128">
        <f>L223</f>
        <v>0.3207</v>
      </c>
      <c r="G225" s="78"/>
      <c r="H225" s="82" t="s">
        <v>28</v>
      </c>
      <c r="I225" s="78">
        <f>I175</f>
        <v>2.58</v>
      </c>
      <c r="J225" s="78"/>
      <c r="K225" s="82" t="s">
        <v>28</v>
      </c>
      <c r="L225" s="78">
        <v>1000</v>
      </c>
      <c r="M225" s="78"/>
      <c r="N225" s="78" t="s">
        <v>26</v>
      </c>
      <c r="O225" s="79">
        <f>ROUND(F225*I225*L225,0)</f>
        <v>827</v>
      </c>
      <c r="P225" s="79"/>
      <c r="Q225" s="7" t="s">
        <v>89</v>
      </c>
    </row>
    <row r="226" spans="1:17" ht="16.5" customHeight="1">
      <c r="A226" s="7" t="s">
        <v>85</v>
      </c>
      <c r="B226" s="7" t="s">
        <v>101</v>
      </c>
      <c r="F226" s="128">
        <f>L224</f>
        <v>0.3764</v>
      </c>
      <c r="G226" s="78"/>
      <c r="H226" s="82" t="s">
        <v>28</v>
      </c>
      <c r="I226" s="107">
        <f>I176</f>
        <v>2.7</v>
      </c>
      <c r="J226" s="78"/>
      <c r="K226" s="82" t="s">
        <v>28</v>
      </c>
      <c r="L226" s="78">
        <v>1000</v>
      </c>
      <c r="M226" s="78"/>
      <c r="N226" s="78" t="s">
        <v>26</v>
      </c>
      <c r="O226" s="79">
        <f>ROUND(F226*I226*L226,0)</f>
        <v>1016</v>
      </c>
      <c r="P226" s="79"/>
      <c r="Q226" s="7" t="s">
        <v>89</v>
      </c>
    </row>
    <row r="227" spans="1:14" ht="16.5" customHeight="1">
      <c r="A227" s="7" t="s">
        <v>85</v>
      </c>
      <c r="B227" s="7" t="s">
        <v>102</v>
      </c>
      <c r="F227" s="79">
        <f>I233</f>
        <v>320</v>
      </c>
      <c r="G227" s="78"/>
      <c r="H227" s="82" t="s">
        <v>28</v>
      </c>
      <c r="I227" s="78">
        <f>I177</f>
        <v>0.003</v>
      </c>
      <c r="J227" s="78"/>
      <c r="K227" s="78" t="s">
        <v>26</v>
      </c>
      <c r="L227" s="107">
        <f>F227*I227</f>
        <v>0.96</v>
      </c>
      <c r="M227" s="107"/>
      <c r="N227" s="7" t="s">
        <v>89</v>
      </c>
    </row>
    <row r="228" ht="10.5" customHeight="1"/>
    <row r="229" ht="16.5" customHeight="1">
      <c r="A229" s="7" t="s">
        <v>172</v>
      </c>
    </row>
    <row r="230" ht="16.5" customHeight="1">
      <c r="A230" s="7" t="s">
        <v>173</v>
      </c>
    </row>
    <row r="231" spans="1:20" ht="16.5" customHeight="1">
      <c r="A231" s="31" t="s">
        <v>106</v>
      </c>
      <c r="B231" s="109"/>
      <c r="C231" s="32" t="s">
        <v>47</v>
      </c>
      <c r="D231" s="109"/>
      <c r="E231" s="32" t="s">
        <v>107</v>
      </c>
      <c r="F231" s="109"/>
      <c r="G231" s="32" t="s">
        <v>66</v>
      </c>
      <c r="H231" s="109"/>
      <c r="I231" s="86" t="s">
        <v>108</v>
      </c>
      <c r="J231" s="86"/>
      <c r="K231" s="86"/>
      <c r="L231" s="86"/>
      <c r="M231" s="86"/>
      <c r="N231" s="86"/>
      <c r="O231" s="86"/>
      <c r="P231" s="86"/>
      <c r="Q231" s="86"/>
      <c r="R231" s="87"/>
      <c r="S231" s="32" t="s">
        <v>69</v>
      </c>
      <c r="T231" s="109"/>
    </row>
    <row r="232" spans="1:20" ht="16.5" customHeight="1">
      <c r="A232" s="71"/>
      <c r="B232" s="88"/>
      <c r="C232" s="72" t="s">
        <v>109</v>
      </c>
      <c r="D232" s="88"/>
      <c r="E232" s="89"/>
      <c r="F232" s="88"/>
      <c r="G232" s="72" t="s">
        <v>110</v>
      </c>
      <c r="H232" s="88"/>
      <c r="I232" s="72" t="s">
        <v>111</v>
      </c>
      <c r="J232" s="88"/>
      <c r="K232" s="72" t="s">
        <v>67</v>
      </c>
      <c r="L232" s="88"/>
      <c r="M232" s="72" t="s">
        <v>112</v>
      </c>
      <c r="N232" s="88"/>
      <c r="O232" s="72" t="s">
        <v>113</v>
      </c>
      <c r="P232" s="88"/>
      <c r="Q232" s="72" t="s">
        <v>114</v>
      </c>
      <c r="R232" s="88"/>
      <c r="S232" s="89"/>
      <c r="T232" s="88"/>
    </row>
    <row r="233" spans="1:20" ht="16.5" customHeight="1">
      <c r="A233" s="71">
        <v>1</v>
      </c>
      <c r="B233" s="110" t="s">
        <v>97</v>
      </c>
      <c r="C233" s="111"/>
      <c r="D233" s="112"/>
      <c r="E233" s="51"/>
      <c r="F233" s="112"/>
      <c r="G233" s="51"/>
      <c r="H233" s="112"/>
      <c r="I233" s="94">
        <f>I243</f>
        <v>320</v>
      </c>
      <c r="J233" s="88"/>
      <c r="K233" s="94">
        <f>K243</f>
        <v>168</v>
      </c>
      <c r="L233" s="88"/>
      <c r="M233" s="94">
        <f>M243</f>
        <v>827</v>
      </c>
      <c r="N233" s="88"/>
      <c r="O233" s="94">
        <f>O243</f>
        <v>1016</v>
      </c>
      <c r="P233" s="88"/>
      <c r="Q233" s="92">
        <f>Q243</f>
        <v>0.96</v>
      </c>
      <c r="R233" s="88"/>
      <c r="S233" s="111"/>
      <c r="T233" s="112"/>
    </row>
    <row r="234" spans="1:20" ht="16.5" customHeight="1">
      <c r="A234" s="71" t="s">
        <v>115</v>
      </c>
      <c r="B234" s="88"/>
      <c r="C234" s="90">
        <f>C243</f>
        <v>52.5</v>
      </c>
      <c r="D234" s="88"/>
      <c r="E234" s="72">
        <f>E138</f>
        <v>8</v>
      </c>
      <c r="F234" s="88"/>
      <c r="G234" s="90">
        <f>E184</f>
        <v>46</v>
      </c>
      <c r="H234" s="88"/>
      <c r="I234" s="113">
        <f>I233*0.04</f>
        <v>12.8</v>
      </c>
      <c r="J234" s="114"/>
      <c r="K234" s="113">
        <f>K233*0.04</f>
        <v>6.72</v>
      </c>
      <c r="L234" s="114"/>
      <c r="M234" s="113">
        <f>M233*0.04</f>
        <v>33.08</v>
      </c>
      <c r="N234" s="114"/>
      <c r="O234" s="113">
        <f>O233*0.04</f>
        <v>40.64</v>
      </c>
      <c r="P234" s="114"/>
      <c r="Q234" s="113">
        <f>Q233*0.04</f>
        <v>0.0384</v>
      </c>
      <c r="R234" s="114"/>
      <c r="S234" s="89"/>
      <c r="T234" s="88"/>
    </row>
    <row r="235" ht="16.5" customHeight="1"/>
    <row r="236" ht="16.5" customHeight="1">
      <c r="A236" s="7" t="s">
        <v>174</v>
      </c>
    </row>
    <row r="237" spans="1:20" ht="16.5" customHeight="1">
      <c r="A237" s="85" t="s">
        <v>117</v>
      </c>
      <c r="B237" s="86"/>
      <c r="C237" s="86"/>
      <c r="D237" s="86"/>
      <c r="E237" s="87"/>
      <c r="F237" s="86" t="s">
        <v>118</v>
      </c>
      <c r="G237" s="86"/>
      <c r="H237" s="86"/>
      <c r="I237" s="86"/>
      <c r="J237" s="87"/>
      <c r="K237" s="86" t="s">
        <v>119</v>
      </c>
      <c r="L237" s="86"/>
      <c r="M237" s="86"/>
      <c r="N237" s="86"/>
      <c r="O237" s="87"/>
      <c r="P237" s="86" t="s">
        <v>120</v>
      </c>
      <c r="Q237" s="86"/>
      <c r="R237" s="86"/>
      <c r="S237" s="86"/>
      <c r="T237" s="87"/>
    </row>
    <row r="238" spans="1:20" ht="16.5" customHeight="1">
      <c r="A238" s="71">
        <f>E234</f>
        <v>8</v>
      </c>
      <c r="B238" s="72"/>
      <c r="C238" s="72"/>
      <c r="D238" s="72"/>
      <c r="E238" s="88"/>
      <c r="F238" s="72">
        <v>4.5</v>
      </c>
      <c r="G238" s="72"/>
      <c r="H238" s="72"/>
      <c r="I238" s="72"/>
      <c r="J238" s="88"/>
      <c r="K238" s="72" t="s">
        <v>132</v>
      </c>
      <c r="L238" s="72"/>
      <c r="M238" s="72"/>
      <c r="N238" s="72"/>
      <c r="O238" s="88"/>
      <c r="P238" s="89"/>
      <c r="Q238" s="72"/>
      <c r="R238" s="72"/>
      <c r="S238" s="72"/>
      <c r="T238" s="88"/>
    </row>
    <row r="239" ht="16.5" customHeight="1"/>
    <row r="240" ht="16.5" customHeight="1">
      <c r="A240" s="7" t="s">
        <v>175</v>
      </c>
    </row>
    <row r="241" spans="1:20" ht="16.5" customHeight="1">
      <c r="A241" s="31" t="s">
        <v>106</v>
      </c>
      <c r="B241" s="109"/>
      <c r="C241" s="32" t="s">
        <v>47</v>
      </c>
      <c r="D241" s="109"/>
      <c r="E241" s="32" t="s">
        <v>176</v>
      </c>
      <c r="F241" s="109"/>
      <c r="G241" s="32" t="s">
        <v>66</v>
      </c>
      <c r="H241" s="109"/>
      <c r="I241" s="86" t="s">
        <v>108</v>
      </c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7"/>
    </row>
    <row r="242" spans="1:20" ht="16.5" customHeight="1">
      <c r="A242" s="71"/>
      <c r="B242" s="88"/>
      <c r="C242" s="72" t="s">
        <v>109</v>
      </c>
      <c r="D242" s="88"/>
      <c r="E242" s="72" t="s">
        <v>110</v>
      </c>
      <c r="F242" s="88"/>
      <c r="G242" s="72" t="s">
        <v>109</v>
      </c>
      <c r="H242" s="88"/>
      <c r="I242" s="72" t="s">
        <v>111</v>
      </c>
      <c r="J242" s="88"/>
      <c r="K242" s="72" t="s">
        <v>67</v>
      </c>
      <c r="L242" s="88"/>
      <c r="M242" s="72" t="s">
        <v>112</v>
      </c>
      <c r="N242" s="88"/>
      <c r="O242" s="72" t="s">
        <v>113</v>
      </c>
      <c r="P242" s="88"/>
      <c r="Q242" s="85" t="s">
        <v>114</v>
      </c>
      <c r="R242" s="87"/>
      <c r="S242" s="72" t="s">
        <v>177</v>
      </c>
      <c r="T242" s="88"/>
    </row>
    <row r="243" spans="1:20" ht="16.5" customHeight="1">
      <c r="A243" s="71">
        <v>1</v>
      </c>
      <c r="B243" s="110" t="s">
        <v>97</v>
      </c>
      <c r="C243" s="90">
        <v>52.5</v>
      </c>
      <c r="D243" s="88"/>
      <c r="E243" s="72">
        <f>E234</f>
        <v>8</v>
      </c>
      <c r="F243" s="88"/>
      <c r="G243" s="90">
        <f>G234</f>
        <v>46</v>
      </c>
      <c r="H243" s="88"/>
      <c r="I243" s="94">
        <v>320</v>
      </c>
      <c r="J243" s="88"/>
      <c r="K243" s="94">
        <v>168</v>
      </c>
      <c r="L243" s="88"/>
      <c r="M243" s="94">
        <v>827</v>
      </c>
      <c r="N243" s="88"/>
      <c r="O243" s="94">
        <v>1016</v>
      </c>
      <c r="P243" s="88"/>
      <c r="Q243" s="129">
        <v>0.96</v>
      </c>
      <c r="R243" s="87"/>
      <c r="S243" s="94">
        <v>2331</v>
      </c>
      <c r="T243" s="88"/>
    </row>
    <row r="244" spans="1:2" ht="23.25" customHeight="1">
      <c r="A244" s="7" t="s">
        <v>178</v>
      </c>
      <c r="B244" s="65"/>
    </row>
    <row r="245" spans="1:20" ht="17.25" customHeight="1">
      <c r="A245" s="31"/>
      <c r="B245" s="32"/>
      <c r="C245" s="109"/>
      <c r="D245" s="32" t="s">
        <v>77</v>
      </c>
      <c r="E245" s="109"/>
      <c r="F245" s="32" t="s">
        <v>66</v>
      </c>
      <c r="G245" s="109"/>
      <c r="H245" s="32" t="s">
        <v>176</v>
      </c>
      <c r="I245" s="109"/>
      <c r="J245" s="32" t="s">
        <v>179</v>
      </c>
      <c r="K245" s="109"/>
      <c r="L245" s="130" t="s">
        <v>180</v>
      </c>
      <c r="M245" s="86"/>
      <c r="N245" s="86"/>
      <c r="O245" s="86"/>
      <c r="P245" s="86"/>
      <c r="Q245" s="86"/>
      <c r="R245" s="86"/>
      <c r="S245" s="86"/>
      <c r="T245" s="87"/>
    </row>
    <row r="246" spans="1:20" ht="17.25" customHeight="1">
      <c r="A246" s="71" t="s">
        <v>106</v>
      </c>
      <c r="B246" s="72"/>
      <c r="C246" s="88"/>
      <c r="D246" s="72" t="s">
        <v>109</v>
      </c>
      <c r="E246" s="88"/>
      <c r="F246" s="72" t="s">
        <v>109</v>
      </c>
      <c r="G246" s="88"/>
      <c r="H246" s="72" t="s">
        <v>181</v>
      </c>
      <c r="I246" s="88"/>
      <c r="J246" s="72" t="s">
        <v>109</v>
      </c>
      <c r="K246" s="88"/>
      <c r="L246" s="71" t="s">
        <v>182</v>
      </c>
      <c r="M246" s="72"/>
      <c r="N246" s="88"/>
      <c r="O246" s="71" t="s">
        <v>183</v>
      </c>
      <c r="P246" s="72"/>
      <c r="Q246" s="88"/>
      <c r="R246" s="71" t="s">
        <v>184</v>
      </c>
      <c r="S246" s="72"/>
      <c r="T246" s="88"/>
    </row>
    <row r="247" spans="1:20" ht="17.25" customHeight="1">
      <c r="A247" s="31"/>
      <c r="B247" s="51"/>
      <c r="C247" s="112"/>
      <c r="D247" s="31"/>
      <c r="E247" s="109"/>
      <c r="F247" s="31"/>
      <c r="G247" s="109"/>
      <c r="H247" s="31"/>
      <c r="I247" s="109"/>
      <c r="J247" s="31"/>
      <c r="K247" s="109"/>
      <c r="L247" s="85" t="s">
        <v>185</v>
      </c>
      <c r="M247" s="86"/>
      <c r="N247" s="87"/>
      <c r="O247" s="86">
        <v>178</v>
      </c>
      <c r="P247" s="86"/>
      <c r="Q247" s="87"/>
      <c r="R247" s="86">
        <v>263</v>
      </c>
      <c r="S247" s="86"/>
      <c r="T247" s="87"/>
    </row>
    <row r="248" spans="1:20" ht="17.25" customHeight="1">
      <c r="A248" s="66" t="s">
        <v>186</v>
      </c>
      <c r="B248" s="51"/>
      <c r="C248" s="112"/>
      <c r="D248" s="131"/>
      <c r="E248" s="112"/>
      <c r="F248" s="66"/>
      <c r="G248" s="112"/>
      <c r="H248" s="66"/>
      <c r="I248" s="112"/>
      <c r="J248" s="66"/>
      <c r="K248" s="112"/>
      <c r="L248" s="85" t="s">
        <v>187</v>
      </c>
      <c r="M248" s="86"/>
      <c r="N248" s="87"/>
      <c r="O248" s="86">
        <v>172</v>
      </c>
      <c r="P248" s="86"/>
      <c r="Q248" s="87"/>
      <c r="R248" s="86">
        <v>268</v>
      </c>
      <c r="S248" s="86"/>
      <c r="T248" s="87"/>
    </row>
    <row r="249" spans="1:20" ht="17.25" customHeight="1">
      <c r="A249" s="66" t="s">
        <v>188</v>
      </c>
      <c r="B249" s="51"/>
      <c r="C249" s="112"/>
      <c r="D249" s="132">
        <f>C243</f>
        <v>52.5</v>
      </c>
      <c r="E249" s="112"/>
      <c r="F249" s="132">
        <f>G243</f>
        <v>46</v>
      </c>
      <c r="G249" s="112"/>
      <c r="H249" s="66">
        <v>8.5</v>
      </c>
      <c r="I249" s="112"/>
      <c r="J249" s="66">
        <v>4.4</v>
      </c>
      <c r="K249" s="112"/>
      <c r="L249" s="85" t="s">
        <v>189</v>
      </c>
      <c r="M249" s="86"/>
      <c r="N249" s="87"/>
      <c r="O249" s="86">
        <v>176</v>
      </c>
      <c r="P249" s="86"/>
      <c r="Q249" s="87"/>
      <c r="R249" s="86">
        <v>272</v>
      </c>
      <c r="S249" s="86"/>
      <c r="T249" s="87"/>
    </row>
    <row r="250" spans="1:20" ht="17.25" customHeight="1">
      <c r="A250" s="71"/>
      <c r="B250" s="72"/>
      <c r="C250" s="88"/>
      <c r="D250" s="71"/>
      <c r="E250" s="88"/>
      <c r="F250" s="71"/>
      <c r="G250" s="88"/>
      <c r="H250" s="71"/>
      <c r="I250" s="88"/>
      <c r="J250" s="71"/>
      <c r="K250" s="88"/>
      <c r="L250" s="85" t="s">
        <v>190</v>
      </c>
      <c r="M250" s="86"/>
      <c r="N250" s="87"/>
      <c r="O250" s="133">
        <f>AVERAGE(O247:O249)</f>
        <v>175.33333333333334</v>
      </c>
      <c r="P250" s="86"/>
      <c r="Q250" s="87"/>
      <c r="R250" s="133">
        <f>AVERAGE(R247:R249)</f>
        <v>267.6666666666667</v>
      </c>
      <c r="S250" s="86"/>
      <c r="T250" s="87"/>
    </row>
    <row r="251" spans="1:20" ht="17.25" customHeight="1">
      <c r="A251" s="31"/>
      <c r="B251" s="51"/>
      <c r="C251" s="112"/>
      <c r="D251" s="31"/>
      <c r="E251" s="109"/>
      <c r="F251" s="31"/>
      <c r="G251" s="109"/>
      <c r="H251" s="31"/>
      <c r="I251" s="109"/>
      <c r="J251" s="31"/>
      <c r="K251" s="109"/>
      <c r="L251" s="85" t="s">
        <v>185</v>
      </c>
      <c r="M251" s="86"/>
      <c r="N251" s="87"/>
      <c r="O251" s="86">
        <v>176</v>
      </c>
      <c r="P251" s="86"/>
      <c r="Q251" s="87"/>
      <c r="R251" s="86">
        <v>272</v>
      </c>
      <c r="S251" s="86"/>
      <c r="T251" s="87"/>
    </row>
    <row r="252" spans="1:20" ht="17.25" customHeight="1">
      <c r="A252" s="134" t="s">
        <v>191</v>
      </c>
      <c r="B252" s="51"/>
      <c r="C252" s="112"/>
      <c r="D252" s="131"/>
      <c r="E252" s="112"/>
      <c r="F252" s="66"/>
      <c r="G252" s="112"/>
      <c r="H252" s="66"/>
      <c r="I252" s="112"/>
      <c r="J252" s="66"/>
      <c r="K252" s="112"/>
      <c r="L252" s="85" t="s">
        <v>187</v>
      </c>
      <c r="M252" s="86"/>
      <c r="N252" s="87"/>
      <c r="O252" s="86">
        <v>177</v>
      </c>
      <c r="P252" s="86"/>
      <c r="Q252" s="87"/>
      <c r="R252" s="86">
        <v>268</v>
      </c>
      <c r="S252" s="86"/>
      <c r="T252" s="87"/>
    </row>
    <row r="253" spans="1:20" ht="17.25" customHeight="1">
      <c r="A253" s="66" t="s">
        <v>188</v>
      </c>
      <c r="B253" s="51"/>
      <c r="C253" s="112"/>
      <c r="D253" s="132">
        <f>C243</f>
        <v>52.5</v>
      </c>
      <c r="E253" s="112"/>
      <c r="F253" s="132">
        <f>G243</f>
        <v>46</v>
      </c>
      <c r="G253" s="112"/>
      <c r="H253" s="66">
        <v>8</v>
      </c>
      <c r="I253" s="112"/>
      <c r="J253" s="66">
        <v>4.5</v>
      </c>
      <c r="K253" s="112"/>
      <c r="L253" s="85" t="s">
        <v>189</v>
      </c>
      <c r="M253" s="86"/>
      <c r="N253" s="87"/>
      <c r="O253" s="86">
        <v>177</v>
      </c>
      <c r="P253" s="86"/>
      <c r="Q253" s="87"/>
      <c r="R253" s="86">
        <v>269</v>
      </c>
      <c r="S253" s="86"/>
      <c r="T253" s="87"/>
    </row>
    <row r="254" spans="1:20" ht="17.25" customHeight="1">
      <c r="A254" s="71"/>
      <c r="B254" s="72"/>
      <c r="C254" s="88"/>
      <c r="D254" s="71"/>
      <c r="E254" s="88"/>
      <c r="F254" s="71"/>
      <c r="G254" s="88"/>
      <c r="H254" s="71"/>
      <c r="I254" s="88"/>
      <c r="J254" s="71"/>
      <c r="K254" s="88"/>
      <c r="L254" s="85" t="s">
        <v>190</v>
      </c>
      <c r="M254" s="86"/>
      <c r="N254" s="87"/>
      <c r="O254" s="133">
        <f>AVERAGE(O251:O253)</f>
        <v>176.66666666666666</v>
      </c>
      <c r="P254" s="86"/>
      <c r="Q254" s="87"/>
      <c r="R254" s="133">
        <f>AVERAGE(R251:R253)</f>
        <v>269.6666666666667</v>
      </c>
      <c r="S254" s="86"/>
      <c r="T254" s="87"/>
    </row>
    <row r="255" spans="1:20" ht="17.25" customHeight="1">
      <c r="A255" s="31"/>
      <c r="B255" s="51"/>
      <c r="C255" s="112"/>
      <c r="D255" s="31"/>
      <c r="E255" s="109"/>
      <c r="F255" s="31"/>
      <c r="G255" s="109"/>
      <c r="H255" s="31"/>
      <c r="I255" s="109"/>
      <c r="J255" s="31"/>
      <c r="K255" s="109"/>
      <c r="L255" s="85" t="s">
        <v>185</v>
      </c>
      <c r="M255" s="86"/>
      <c r="N255" s="87"/>
      <c r="O255" s="86">
        <v>169</v>
      </c>
      <c r="P255" s="86"/>
      <c r="Q255" s="87"/>
      <c r="R255" s="86">
        <v>259</v>
      </c>
      <c r="S255" s="86"/>
      <c r="T255" s="87"/>
    </row>
    <row r="256" spans="1:20" ht="17.25" customHeight="1">
      <c r="A256" s="134" t="s">
        <v>192</v>
      </c>
      <c r="B256" s="51"/>
      <c r="C256" s="112"/>
      <c r="D256" s="131"/>
      <c r="E256" s="112"/>
      <c r="F256" s="66"/>
      <c r="G256" s="112"/>
      <c r="H256" s="66"/>
      <c r="I256" s="112"/>
      <c r="J256" s="66"/>
      <c r="K256" s="112"/>
      <c r="L256" s="85" t="s">
        <v>187</v>
      </c>
      <c r="M256" s="86"/>
      <c r="N256" s="87"/>
      <c r="O256" s="86">
        <v>178</v>
      </c>
      <c r="P256" s="86"/>
      <c r="Q256" s="87"/>
      <c r="R256" s="86">
        <v>267</v>
      </c>
      <c r="S256" s="86"/>
      <c r="T256" s="87"/>
    </row>
    <row r="257" spans="1:20" ht="17.25" customHeight="1">
      <c r="A257" s="66" t="s">
        <v>188</v>
      </c>
      <c r="B257" s="51"/>
      <c r="C257" s="112"/>
      <c r="D257" s="132">
        <f>C243</f>
        <v>52.5</v>
      </c>
      <c r="E257" s="112"/>
      <c r="F257" s="132">
        <f>G243</f>
        <v>46</v>
      </c>
      <c r="G257" s="112"/>
      <c r="H257" s="66">
        <v>8.5</v>
      </c>
      <c r="I257" s="112"/>
      <c r="J257" s="66">
        <v>4.6</v>
      </c>
      <c r="K257" s="112"/>
      <c r="L257" s="85" t="s">
        <v>189</v>
      </c>
      <c r="M257" s="86"/>
      <c r="N257" s="87"/>
      <c r="O257" s="86">
        <v>176</v>
      </c>
      <c r="P257" s="86"/>
      <c r="Q257" s="87"/>
      <c r="R257" s="86">
        <v>265</v>
      </c>
      <c r="S257" s="86"/>
      <c r="T257" s="87"/>
    </row>
    <row r="258" spans="1:20" ht="17.25" customHeight="1">
      <c r="A258" s="71"/>
      <c r="B258" s="72"/>
      <c r="C258" s="88"/>
      <c r="D258" s="71"/>
      <c r="E258" s="88"/>
      <c r="F258" s="71"/>
      <c r="G258" s="88"/>
      <c r="H258" s="71"/>
      <c r="I258" s="88"/>
      <c r="J258" s="71"/>
      <c r="K258" s="88"/>
      <c r="L258" s="85" t="s">
        <v>193</v>
      </c>
      <c r="M258" s="86"/>
      <c r="N258" s="87"/>
      <c r="O258" s="133">
        <f>AVERAGE(O255:O257)</f>
        <v>174.33333333333334</v>
      </c>
      <c r="P258" s="86"/>
      <c r="Q258" s="87"/>
      <c r="R258" s="133">
        <f>AVERAGE(R255:R257)</f>
        <v>263.6666666666667</v>
      </c>
      <c r="S258" s="86"/>
      <c r="T258" s="87"/>
    </row>
    <row r="259" spans="1:20" ht="12">
      <c r="A259" s="31"/>
      <c r="B259" s="32"/>
      <c r="C259" s="109"/>
      <c r="D259" s="31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109"/>
    </row>
    <row r="260" spans="1:20" ht="12">
      <c r="A260" s="66"/>
      <c r="B260" s="51"/>
      <c r="C260" s="112"/>
      <c r="D260" s="66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112"/>
    </row>
    <row r="261" spans="1:20" ht="12">
      <c r="A261" s="66" t="s">
        <v>194</v>
      </c>
      <c r="B261" s="51"/>
      <c r="C261" s="112"/>
      <c r="D261" s="13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112"/>
    </row>
    <row r="262" spans="1:20" ht="12">
      <c r="A262" s="71"/>
      <c r="B262" s="72"/>
      <c r="C262" s="88"/>
      <c r="D262" s="71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88"/>
    </row>
    <row r="263" ht="12">
      <c r="D263" s="65"/>
    </row>
  </sheetData>
  <printOptions horizontalCentered="1" verticalCentered="1"/>
  <pageMargins left="0.6692913385826772" right="0.5511811023622047" top="0.9055118110236221" bottom="0.984251968503937" header="0.5118110236220472" footer="0.5118110236220472"/>
  <pageSetup horizontalDpi="600" verticalDpi="600" orientation="portrait" paperSize="9" scale="89" r:id="rId2"/>
  <headerFooter alignWithMargins="0">
    <oddHeader>&amp;C&amp;A</oddHeader>
    <oddFooter>&amp;C&amp;P쪽</oddFooter>
  </headerFooter>
  <rowBreaks count="4" manualBreakCount="4">
    <brk id="20" max="20" man="1"/>
    <brk id="62" max="20" man="1"/>
    <brk id="132" max="20" man="1"/>
    <brk id="173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4"/>
  <sheetViews>
    <sheetView view="pageBreakPreview" zoomScaleNormal="80" zoomScaleSheetLayoutView="100" workbookViewId="0" topLeftCell="A208">
      <selection activeCell="K15" sqref="K15"/>
    </sheetView>
  </sheetViews>
  <sheetFormatPr defaultColWidth="8.88671875" defaultRowHeight="13.5"/>
  <cols>
    <col min="1" max="4" width="3.4453125" style="7" customWidth="1"/>
    <col min="5" max="5" width="3.6640625" style="7" customWidth="1"/>
    <col min="6" max="7" width="3.4453125" style="7" customWidth="1"/>
    <col min="8" max="8" width="3.99609375" style="7" customWidth="1"/>
    <col min="9" max="9" width="4.3359375" style="7" customWidth="1"/>
    <col min="10" max="10" width="3.5546875" style="7" customWidth="1"/>
    <col min="11" max="11" width="3.4453125" style="7" customWidth="1"/>
    <col min="12" max="12" width="3.6640625" style="7" customWidth="1"/>
    <col min="13" max="13" width="3.5546875" style="7" customWidth="1"/>
    <col min="14" max="14" width="3.6640625" style="7" customWidth="1"/>
    <col min="15" max="15" width="3.77734375" style="7" customWidth="1"/>
    <col min="16" max="16" width="3.4453125" style="7" customWidth="1"/>
    <col min="17" max="18" width="3.99609375" style="7" customWidth="1"/>
    <col min="19" max="19" width="4.21484375" style="7" customWidth="1"/>
    <col min="20" max="20" width="3.99609375" style="7" customWidth="1"/>
    <col min="21" max="21" width="3.4453125" style="7" customWidth="1"/>
    <col min="22" max="22" width="6.10546875" style="7" customWidth="1"/>
    <col min="23" max="25" width="4.21484375" style="7" customWidth="1"/>
    <col min="26" max="16384" width="7.10546875" style="7" customWidth="1"/>
  </cols>
  <sheetData>
    <row r="1" spans="1:20" s="6" customFormat="1" ht="47.2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5"/>
    </row>
    <row r="2" spans="1:20" s="11" customFormat="1" ht="27" customHeight="1">
      <c r="A2" s="8" t="s">
        <v>1</v>
      </c>
      <c r="F2" s="9">
        <v>25</v>
      </c>
      <c r="G2" s="12" t="s">
        <v>2</v>
      </c>
      <c r="H2" s="9">
        <v>240</v>
      </c>
      <c r="I2" s="12" t="s">
        <v>2</v>
      </c>
      <c r="J2" s="10">
        <v>15</v>
      </c>
      <c r="K2" s="11" t="s">
        <v>3</v>
      </c>
      <c r="O2" s="13"/>
      <c r="P2" s="13"/>
      <c r="Q2" s="14"/>
      <c r="R2" s="13"/>
      <c r="S2" s="13"/>
      <c r="T2" s="13"/>
    </row>
    <row r="3" spans="1:20" s="19" customFormat="1" ht="13.5" customHeight="1">
      <c r="A3" s="15"/>
      <c r="B3" s="16"/>
      <c r="C3" s="16"/>
      <c r="D3" s="16"/>
      <c r="E3" s="16"/>
      <c r="F3" s="17"/>
      <c r="G3" s="17"/>
      <c r="H3" s="17"/>
      <c r="I3" s="17"/>
      <c r="J3" s="18"/>
      <c r="K3" s="16"/>
      <c r="O3" s="20"/>
      <c r="P3" s="20"/>
      <c r="Q3" s="21"/>
      <c r="R3" s="20"/>
      <c r="S3" s="20"/>
      <c r="T3" s="20"/>
    </row>
    <row r="4" spans="1:20" ht="29.25" customHeight="1">
      <c r="A4" s="22" t="s">
        <v>4</v>
      </c>
      <c r="B4" s="23"/>
      <c r="C4" s="23"/>
      <c r="D4" s="23"/>
      <c r="E4" s="23"/>
      <c r="F4" s="24"/>
      <c r="G4" s="23">
        <v>240</v>
      </c>
      <c r="H4" s="23"/>
      <c r="I4" s="23" t="s">
        <v>5</v>
      </c>
      <c r="J4" s="24"/>
      <c r="K4" s="25" t="s">
        <v>6</v>
      </c>
      <c r="L4" s="23"/>
      <c r="M4" s="23"/>
      <c r="N4" s="23"/>
      <c r="O4" s="23"/>
      <c r="P4" s="24"/>
      <c r="Q4" s="23">
        <f>F2</f>
        <v>25</v>
      </c>
      <c r="R4" s="23"/>
      <c r="S4" s="23" t="s">
        <v>7</v>
      </c>
      <c r="T4" s="24"/>
    </row>
    <row r="5" spans="1:20" ht="29.25" customHeight="1">
      <c r="A5" s="25" t="s">
        <v>8</v>
      </c>
      <c r="B5" s="23"/>
      <c r="C5" s="23"/>
      <c r="D5" s="23"/>
      <c r="E5" s="23"/>
      <c r="F5" s="24"/>
      <c r="G5" s="26">
        <f>J2</f>
        <v>15</v>
      </c>
      <c r="H5" s="23"/>
      <c r="I5" s="23" t="s">
        <v>9</v>
      </c>
      <c r="J5" s="24"/>
      <c r="K5" s="25" t="s">
        <v>10</v>
      </c>
      <c r="L5" s="23"/>
      <c r="M5" s="23"/>
      <c r="N5" s="23"/>
      <c r="O5" s="23"/>
      <c r="P5" s="24"/>
      <c r="Q5" s="23">
        <v>4.5</v>
      </c>
      <c r="R5" s="23"/>
      <c r="S5" s="23" t="s">
        <v>11</v>
      </c>
      <c r="T5" s="24"/>
    </row>
    <row r="6" spans="1:20" ht="29.25" customHeight="1">
      <c r="A6" s="22" t="s">
        <v>12</v>
      </c>
      <c r="B6" s="23"/>
      <c r="C6" s="23"/>
      <c r="D6" s="23"/>
      <c r="E6" s="23"/>
      <c r="F6" s="24"/>
      <c r="G6" s="27">
        <v>23.39</v>
      </c>
      <c r="H6" s="23"/>
      <c r="I6" s="23" t="s">
        <v>5</v>
      </c>
      <c r="J6" s="24"/>
      <c r="K6" s="25" t="s">
        <v>13</v>
      </c>
      <c r="L6" s="23"/>
      <c r="M6" s="23"/>
      <c r="N6" s="23"/>
      <c r="O6" s="23"/>
      <c r="P6" s="24"/>
      <c r="Q6" s="23">
        <f>ROUND((G6/J19)*100,2)</f>
        <v>8.41</v>
      </c>
      <c r="R6" s="23"/>
      <c r="S6" s="23" t="s">
        <v>11</v>
      </c>
      <c r="T6" s="24"/>
    </row>
    <row r="7" spans="1:20" ht="29.25" customHeight="1">
      <c r="A7" s="22" t="s">
        <v>14</v>
      </c>
      <c r="B7" s="23"/>
      <c r="C7" s="23"/>
      <c r="D7" s="23"/>
      <c r="E7" s="23"/>
      <c r="F7" s="24"/>
      <c r="G7" s="27">
        <f>ROUND(J19/G4,2)</f>
        <v>1.16</v>
      </c>
      <c r="H7" s="23"/>
      <c r="I7" s="23"/>
      <c r="J7" s="24"/>
      <c r="K7" s="25" t="s">
        <v>15</v>
      </c>
      <c r="L7" s="23"/>
      <c r="M7" s="23"/>
      <c r="N7" s="23"/>
      <c r="O7" s="23"/>
      <c r="P7" s="24"/>
      <c r="Q7" s="23">
        <v>1.5</v>
      </c>
      <c r="R7" s="23"/>
      <c r="S7" s="23" t="s">
        <v>11</v>
      </c>
      <c r="T7" s="24"/>
    </row>
    <row r="8" spans="1:20" ht="29.25" customHeight="1">
      <c r="A8" s="25" t="s">
        <v>16</v>
      </c>
      <c r="B8" s="23"/>
      <c r="C8" s="23"/>
      <c r="D8" s="23"/>
      <c r="E8" s="23"/>
      <c r="F8" s="24"/>
      <c r="G8" s="27">
        <v>2.58</v>
      </c>
      <c r="H8" s="23"/>
      <c r="I8" s="23"/>
      <c r="J8" s="24"/>
      <c r="K8" s="22" t="s">
        <v>17</v>
      </c>
      <c r="L8" s="23"/>
      <c r="M8" s="23"/>
      <c r="N8" s="23"/>
      <c r="O8" s="23"/>
      <c r="P8" s="24"/>
      <c r="Q8" s="23">
        <v>0.8</v>
      </c>
      <c r="R8" s="23"/>
      <c r="S8" s="23" t="s">
        <v>11</v>
      </c>
      <c r="T8" s="24"/>
    </row>
    <row r="9" spans="1:20" ht="29.25" customHeight="1">
      <c r="A9" s="25" t="s">
        <v>18</v>
      </c>
      <c r="B9" s="23"/>
      <c r="C9" s="23"/>
      <c r="D9" s="23"/>
      <c r="E9" s="23"/>
      <c r="F9" s="24"/>
      <c r="G9" s="27">
        <v>2.7</v>
      </c>
      <c r="H9" s="23"/>
      <c r="I9" s="23"/>
      <c r="J9" s="24"/>
      <c r="K9" s="25" t="s">
        <v>19</v>
      </c>
      <c r="L9" s="23"/>
      <c r="M9" s="23"/>
      <c r="N9" s="23"/>
      <c r="O9" s="23"/>
      <c r="P9" s="24"/>
      <c r="Q9" s="23">
        <v>3.05</v>
      </c>
      <c r="R9" s="23"/>
      <c r="S9" s="23"/>
      <c r="T9" s="24"/>
    </row>
    <row r="10" spans="1:20" ht="29.25" customHeight="1">
      <c r="A10" s="25" t="s">
        <v>20</v>
      </c>
      <c r="B10" s="23"/>
      <c r="C10" s="23"/>
      <c r="D10" s="23"/>
      <c r="E10" s="23"/>
      <c r="F10" s="24"/>
      <c r="G10" s="28">
        <v>2.8</v>
      </c>
      <c r="H10" s="23"/>
      <c r="I10" s="23"/>
      <c r="J10" s="24"/>
      <c r="K10" s="22" t="s">
        <v>21</v>
      </c>
      <c r="L10" s="23"/>
      <c r="M10" s="23"/>
      <c r="N10" s="23"/>
      <c r="O10" s="23"/>
      <c r="P10" s="24"/>
      <c r="Q10" s="23" t="s">
        <v>22</v>
      </c>
      <c r="R10" s="23"/>
      <c r="S10" s="23"/>
      <c r="T10" s="24"/>
    </row>
    <row r="11" spans="1:20" ht="42.75" customHeight="1">
      <c r="A11" s="21"/>
      <c r="B11" s="21"/>
      <c r="C11" s="21"/>
      <c r="D11" s="21"/>
      <c r="E11" s="21"/>
      <c r="F11" s="21"/>
      <c r="G11" s="20"/>
      <c r="H11" s="20"/>
      <c r="I11" s="21"/>
      <c r="J11" s="21"/>
      <c r="K11" s="29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9" customFormat="1" ht="35.25" customHeight="1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30"/>
      <c r="L12" s="20"/>
      <c r="M12" s="20"/>
      <c r="N12" s="20"/>
      <c r="O12" s="20"/>
      <c r="P12" s="20"/>
      <c r="Q12" s="20"/>
      <c r="R12" s="20"/>
      <c r="S12" s="20"/>
      <c r="T12" s="20"/>
    </row>
    <row r="13" spans="1:21" ht="44.25" customHeight="1">
      <c r="A13" s="31" t="s">
        <v>24</v>
      </c>
      <c r="B13" s="32"/>
      <c r="C13" s="32"/>
      <c r="D13" s="33" t="s">
        <v>25</v>
      </c>
      <c r="E13" s="34"/>
      <c r="F13" s="34"/>
      <c r="G13" s="34"/>
      <c r="H13" s="34"/>
      <c r="I13" s="34"/>
      <c r="J13" s="34"/>
      <c r="K13" s="32"/>
      <c r="L13" s="34"/>
      <c r="M13" s="34"/>
      <c r="N13" s="35"/>
      <c r="O13" s="33"/>
      <c r="P13" s="36"/>
      <c r="Q13" s="37"/>
      <c r="R13" s="38"/>
      <c r="S13" s="38"/>
      <c r="T13" s="39"/>
      <c r="U13" s="40"/>
    </row>
    <row r="14" spans="1:20" s="19" customFormat="1" ht="26.25" customHeight="1">
      <c r="A14" s="41"/>
      <c r="B14" s="21"/>
      <c r="C14" s="21"/>
      <c r="D14" s="42"/>
      <c r="E14" s="20"/>
      <c r="F14" s="20"/>
      <c r="G14" s="20"/>
      <c r="H14" s="21"/>
      <c r="I14" s="20"/>
      <c r="J14" s="21" t="s">
        <v>26</v>
      </c>
      <c r="K14" s="20">
        <f>G4</f>
        <v>240</v>
      </c>
      <c r="L14" s="20" t="s">
        <v>27</v>
      </c>
      <c r="M14" s="135">
        <v>1.64</v>
      </c>
      <c r="N14" s="44" t="s">
        <v>28</v>
      </c>
      <c r="O14" s="45">
        <f>G6</f>
        <v>23.39</v>
      </c>
      <c r="P14" s="46" t="s">
        <v>29</v>
      </c>
      <c r="Q14" s="20">
        <f>ROUND(K14+M14*O14,0)</f>
        <v>278</v>
      </c>
      <c r="R14" s="20"/>
      <c r="S14" s="20"/>
      <c r="T14" s="47"/>
    </row>
    <row r="15" spans="1:21" ht="47.25" customHeight="1">
      <c r="A15" s="48" t="s">
        <v>30</v>
      </c>
      <c r="B15" s="49"/>
      <c r="C15" s="49"/>
      <c r="D15" s="50" t="s">
        <v>31</v>
      </c>
      <c r="E15" s="49"/>
      <c r="F15" s="49"/>
      <c r="G15" s="49"/>
      <c r="H15" s="49"/>
      <c r="I15" s="49"/>
      <c r="J15" s="49"/>
      <c r="K15" s="51"/>
      <c r="L15" s="52"/>
      <c r="M15" s="49"/>
      <c r="N15" s="49"/>
      <c r="O15" s="52"/>
      <c r="P15" s="52"/>
      <c r="Q15" s="53"/>
      <c r="R15" s="54"/>
      <c r="S15" s="55"/>
      <c r="T15" s="56"/>
      <c r="U15" s="40"/>
    </row>
    <row r="16" spans="1:20" s="19" customFormat="1" ht="27.75" customHeight="1">
      <c r="A16" s="57"/>
      <c r="B16" s="20"/>
      <c r="C16" s="20"/>
      <c r="D16" s="42"/>
      <c r="E16" s="20"/>
      <c r="F16" s="20"/>
      <c r="G16" s="20"/>
      <c r="H16" s="20"/>
      <c r="I16" s="20"/>
      <c r="J16" s="21" t="s">
        <v>26</v>
      </c>
      <c r="K16" s="46">
        <v>0.85</v>
      </c>
      <c r="L16" s="58" t="s">
        <v>28</v>
      </c>
      <c r="M16" s="20">
        <f>K14</f>
        <v>240</v>
      </c>
      <c r="N16" s="46" t="s">
        <v>27</v>
      </c>
      <c r="O16" s="46">
        <v>3</v>
      </c>
      <c r="P16" s="59" t="s">
        <v>28</v>
      </c>
      <c r="Q16" s="60">
        <f>O14</f>
        <v>23.39</v>
      </c>
      <c r="R16" s="61" t="s">
        <v>32</v>
      </c>
      <c r="S16" s="46">
        <f>ROUND(K16*M16+O16*Q16,0)</f>
        <v>274</v>
      </c>
      <c r="T16" s="62"/>
    </row>
    <row r="17" spans="1:21" ht="40.5" customHeight="1">
      <c r="A17" s="48" t="s">
        <v>33</v>
      </c>
      <c r="B17" s="49"/>
      <c r="C17" s="51" t="s">
        <v>34</v>
      </c>
      <c r="D17" s="49" t="s">
        <v>35</v>
      </c>
      <c r="E17" s="49"/>
      <c r="F17" s="49"/>
      <c r="G17" s="49"/>
      <c r="H17" s="49"/>
      <c r="I17" s="49"/>
      <c r="J17" s="49"/>
      <c r="K17" s="63"/>
      <c r="L17" s="49"/>
      <c r="M17" s="49"/>
      <c r="N17" s="49"/>
      <c r="O17" s="49"/>
      <c r="P17" s="49"/>
      <c r="Q17" s="49"/>
      <c r="R17" s="49"/>
      <c r="S17" s="49"/>
      <c r="T17" s="64"/>
      <c r="U17" s="40"/>
    </row>
    <row r="18" spans="1:21" ht="27.75" customHeight="1">
      <c r="A18" s="48" t="s">
        <v>36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49"/>
      <c r="O18" s="49"/>
      <c r="P18" s="49"/>
      <c r="Q18" s="49"/>
      <c r="R18" s="49"/>
      <c r="S18" s="49"/>
      <c r="T18" s="64"/>
      <c r="U18" s="40"/>
    </row>
    <row r="19" spans="1:20" ht="27.75" customHeight="1">
      <c r="A19" s="66" t="s">
        <v>37</v>
      </c>
      <c r="B19" s="51"/>
      <c r="C19" s="51"/>
      <c r="D19" s="51"/>
      <c r="E19" s="51"/>
      <c r="F19" s="51" t="s">
        <v>34</v>
      </c>
      <c r="G19" s="51" t="s">
        <v>38</v>
      </c>
      <c r="H19" s="51"/>
      <c r="I19" s="51" t="s">
        <v>26</v>
      </c>
      <c r="J19" s="67">
        <f>MAX(Q14,S16)</f>
        <v>278</v>
      </c>
      <c r="K19" s="68"/>
      <c r="L19" s="68" t="s">
        <v>39</v>
      </c>
      <c r="M19" s="69"/>
      <c r="N19" s="65"/>
      <c r="O19" s="65"/>
      <c r="P19" s="65"/>
      <c r="Q19" s="65"/>
      <c r="R19" s="65"/>
      <c r="S19" s="65"/>
      <c r="T19" s="70"/>
    </row>
    <row r="20" spans="1:20" ht="15" customHeight="1">
      <c r="A20" s="71"/>
      <c r="B20" s="72"/>
      <c r="C20" s="72"/>
      <c r="D20" s="72"/>
      <c r="E20" s="72"/>
      <c r="F20" s="72"/>
      <c r="G20" s="72"/>
      <c r="H20" s="72"/>
      <c r="I20" s="72"/>
      <c r="J20" s="73"/>
      <c r="K20" s="74"/>
      <c r="L20" s="74"/>
      <c r="M20" s="75"/>
      <c r="N20" s="76"/>
      <c r="O20" s="76"/>
      <c r="P20" s="76"/>
      <c r="Q20" s="76"/>
      <c r="R20" s="76"/>
      <c r="S20" s="76"/>
      <c r="T20" s="77"/>
    </row>
    <row r="21" ht="19.5" customHeight="1">
      <c r="A21" s="7" t="s">
        <v>40</v>
      </c>
    </row>
    <row r="22" ht="16.5" customHeight="1"/>
    <row r="23" ht="16.5" customHeight="1">
      <c r="A23" s="7" t="s">
        <v>41</v>
      </c>
    </row>
    <row r="24" spans="1:13" ht="16.5" customHeight="1">
      <c r="A24" s="7" t="s">
        <v>42</v>
      </c>
      <c r="B24" s="78" t="s">
        <v>43</v>
      </c>
      <c r="C24" s="78"/>
      <c r="D24" s="78" t="s">
        <v>26</v>
      </c>
      <c r="E24" s="78"/>
      <c r="F24" s="78">
        <v>-74</v>
      </c>
      <c r="G24" s="78"/>
      <c r="H24" s="78" t="s">
        <v>44</v>
      </c>
      <c r="I24" s="78"/>
      <c r="J24" s="78">
        <v>162</v>
      </c>
      <c r="L24" s="7" t="s">
        <v>45</v>
      </c>
      <c r="M24" s="7" t="s">
        <v>46</v>
      </c>
    </row>
    <row r="25" spans="2:12" ht="16.5" customHeight="1">
      <c r="B25" s="79">
        <f>J19</f>
        <v>278</v>
      </c>
      <c r="C25" s="78"/>
      <c r="D25" s="78" t="s">
        <v>26</v>
      </c>
      <c r="E25" s="78"/>
      <c r="F25" s="78">
        <v>-74</v>
      </c>
      <c r="G25" s="78"/>
      <c r="H25" s="78" t="s">
        <v>44</v>
      </c>
      <c r="I25" s="78"/>
      <c r="J25" s="78">
        <v>162</v>
      </c>
      <c r="L25" s="7" t="s">
        <v>45</v>
      </c>
    </row>
    <row r="26" spans="2:18" ht="16.5" customHeight="1">
      <c r="B26" s="78" t="s">
        <v>47</v>
      </c>
      <c r="C26" s="78"/>
      <c r="D26" s="78" t="s">
        <v>26</v>
      </c>
      <c r="E26" s="78"/>
      <c r="F26" s="78" t="s">
        <v>48</v>
      </c>
      <c r="G26" s="78">
        <f>J25</f>
        <v>162</v>
      </c>
      <c r="H26" s="80" t="s">
        <v>195</v>
      </c>
      <c r="I26" s="81">
        <v>74</v>
      </c>
      <c r="J26" s="79" t="s">
        <v>44</v>
      </c>
      <c r="K26" s="79">
        <f>J19</f>
        <v>278</v>
      </c>
      <c r="L26" s="78" t="s">
        <v>49</v>
      </c>
      <c r="M26" s="82" t="s">
        <v>196</v>
      </c>
      <c r="N26" s="78"/>
      <c r="O26" s="78" t="s">
        <v>26</v>
      </c>
      <c r="P26" s="83">
        <f>ROUND((G26/(I26+K26))*100,1)</f>
        <v>46</v>
      </c>
      <c r="Q26" s="78"/>
      <c r="R26" s="78" t="s">
        <v>11</v>
      </c>
    </row>
    <row r="27" spans="1:17" ht="20.25" customHeight="1">
      <c r="A27" s="84" t="s">
        <v>50</v>
      </c>
      <c r="P27" s="7">
        <v>60</v>
      </c>
      <c r="Q27" s="84" t="s">
        <v>51</v>
      </c>
    </row>
    <row r="28" spans="1:9" ht="20.25" customHeight="1">
      <c r="A28" s="7" t="s">
        <v>52</v>
      </c>
      <c r="H28" s="7">
        <v>55</v>
      </c>
      <c r="I28" s="84" t="s">
        <v>53</v>
      </c>
    </row>
    <row r="29" spans="1:10" ht="20.25" customHeight="1">
      <c r="A29" s="7" t="s">
        <v>54</v>
      </c>
      <c r="H29" s="7" t="s">
        <v>55</v>
      </c>
      <c r="J29" s="7" t="s">
        <v>56</v>
      </c>
    </row>
    <row r="30" spans="2:17" ht="16.5" customHeight="1">
      <c r="B30" s="7" t="s">
        <v>57</v>
      </c>
      <c r="C30" s="7" t="s">
        <v>58</v>
      </c>
      <c r="M30" s="7" t="s">
        <v>47</v>
      </c>
      <c r="N30" s="7" t="s">
        <v>26</v>
      </c>
      <c r="O30" s="83">
        <f>P26</f>
        <v>46</v>
      </c>
      <c r="P30" s="78"/>
      <c r="Q30" s="84" t="s">
        <v>59</v>
      </c>
    </row>
    <row r="31" ht="22.5" customHeight="1"/>
    <row r="32" ht="16.5" customHeight="1">
      <c r="A32" s="7" t="s">
        <v>60</v>
      </c>
    </row>
    <row r="33" spans="1:12" ht="16.5" customHeight="1">
      <c r="A33" s="7" t="s">
        <v>61</v>
      </c>
      <c r="B33" s="7" t="s">
        <v>47</v>
      </c>
      <c r="C33" s="7" t="s">
        <v>26</v>
      </c>
      <c r="D33" s="7">
        <v>55</v>
      </c>
      <c r="E33" s="7" t="s">
        <v>11</v>
      </c>
      <c r="F33" s="7" t="s">
        <v>62</v>
      </c>
      <c r="H33" s="7">
        <v>8</v>
      </c>
      <c r="I33" s="7" t="s">
        <v>63</v>
      </c>
      <c r="J33" s="7" t="s">
        <v>64</v>
      </c>
      <c r="L33" s="7">
        <v>2.8</v>
      </c>
    </row>
    <row r="34" spans="1:20" ht="16.5" customHeight="1">
      <c r="A34" s="85" t="s">
        <v>65</v>
      </c>
      <c r="B34" s="86"/>
      <c r="C34" s="86"/>
      <c r="D34" s="87"/>
      <c r="E34" s="86" t="s">
        <v>66</v>
      </c>
      <c r="F34" s="86"/>
      <c r="G34" s="86"/>
      <c r="H34" s="87"/>
      <c r="I34" s="86" t="s">
        <v>67</v>
      </c>
      <c r="J34" s="86"/>
      <c r="K34" s="86"/>
      <c r="L34" s="87"/>
      <c r="M34" s="86" t="s">
        <v>68</v>
      </c>
      <c r="N34" s="86"/>
      <c r="O34" s="86"/>
      <c r="P34" s="87"/>
      <c r="Q34" s="86" t="s">
        <v>69</v>
      </c>
      <c r="R34" s="86"/>
      <c r="S34" s="86"/>
      <c r="T34" s="87"/>
    </row>
    <row r="35" spans="1:20" ht="16.5" customHeight="1">
      <c r="A35" s="71">
        <v>25</v>
      </c>
      <c r="B35" s="72"/>
      <c r="C35" s="72"/>
      <c r="D35" s="88"/>
      <c r="E35" s="72">
        <v>43</v>
      </c>
      <c r="F35" s="72"/>
      <c r="G35" s="72"/>
      <c r="H35" s="88"/>
      <c r="I35" s="72">
        <v>160</v>
      </c>
      <c r="J35" s="72"/>
      <c r="K35" s="72"/>
      <c r="L35" s="88"/>
      <c r="M35" s="72">
        <v>5</v>
      </c>
      <c r="N35" s="72"/>
      <c r="O35" s="72"/>
      <c r="P35" s="88"/>
      <c r="Q35" s="89"/>
      <c r="R35" s="72"/>
      <c r="S35" s="72"/>
      <c r="T35" s="88"/>
    </row>
    <row r="36" ht="16.5" customHeight="1"/>
    <row r="37" ht="16.5" customHeight="1">
      <c r="A37" s="84" t="s">
        <v>70</v>
      </c>
    </row>
    <row r="38" spans="1:20" ht="17.25" customHeight="1">
      <c r="A38" s="85" t="s">
        <v>71</v>
      </c>
      <c r="B38" s="86"/>
      <c r="C38" s="86"/>
      <c r="D38" s="86"/>
      <c r="E38" s="87"/>
      <c r="F38" s="86" t="s">
        <v>72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  <c r="R38" s="86" t="s">
        <v>73</v>
      </c>
      <c r="S38" s="86"/>
      <c r="T38" s="87"/>
    </row>
    <row r="39" spans="1:20" ht="17.25" customHeight="1">
      <c r="A39" s="71" t="s">
        <v>74</v>
      </c>
      <c r="B39" s="72"/>
      <c r="C39" s="72"/>
      <c r="D39" s="86"/>
      <c r="E39" s="88"/>
      <c r="F39" s="72" t="s">
        <v>48</v>
      </c>
      <c r="G39" s="90">
        <f>G10</f>
        <v>2.8</v>
      </c>
      <c r="H39" s="72" t="s">
        <v>75</v>
      </c>
      <c r="I39" s="72">
        <f>L33</f>
        <v>2.8</v>
      </c>
      <c r="J39" s="72" t="s">
        <v>3</v>
      </c>
      <c r="K39" s="91" t="s">
        <v>76</v>
      </c>
      <c r="L39" s="72">
        <v>0.1</v>
      </c>
      <c r="M39" s="91" t="s">
        <v>28</v>
      </c>
      <c r="N39" s="72">
        <v>0.5</v>
      </c>
      <c r="O39" s="72"/>
      <c r="P39" s="89"/>
      <c r="Q39" s="88"/>
      <c r="R39" s="72">
        <f>ROUND((G39-I39)/L39*N39,2)</f>
        <v>0</v>
      </c>
      <c r="S39" s="72"/>
      <c r="T39" s="88"/>
    </row>
    <row r="40" spans="1:20" ht="17.25" customHeight="1">
      <c r="A40" s="71" t="s">
        <v>77</v>
      </c>
      <c r="B40" s="72"/>
      <c r="C40" s="72"/>
      <c r="D40" s="86"/>
      <c r="E40" s="88"/>
      <c r="F40" s="72" t="s">
        <v>48</v>
      </c>
      <c r="G40" s="92">
        <f>ROUND(O30/100,2)</f>
        <v>0.46</v>
      </c>
      <c r="H40" s="72"/>
      <c r="I40" s="72" t="s">
        <v>75</v>
      </c>
      <c r="J40" s="72">
        <f>ROUND(D33/100,2)</f>
        <v>0.55</v>
      </c>
      <c r="K40" s="72"/>
      <c r="L40" s="72" t="s">
        <v>3</v>
      </c>
      <c r="M40" s="93" t="s">
        <v>76</v>
      </c>
      <c r="N40" s="72">
        <v>0.05</v>
      </c>
      <c r="O40" s="72"/>
      <c r="P40" s="72"/>
      <c r="Q40" s="77"/>
      <c r="R40" s="92">
        <f>ROUND((G40-J40)/N40,2)</f>
        <v>-1.8</v>
      </c>
      <c r="S40" s="94"/>
      <c r="T40" s="95"/>
    </row>
    <row r="41" spans="1:20" ht="17.25" customHeight="1">
      <c r="A41" s="71" t="s">
        <v>78</v>
      </c>
      <c r="B41" s="72"/>
      <c r="C41" s="72"/>
      <c r="D41" s="86"/>
      <c r="E41" s="96"/>
      <c r="F41" s="72" t="s">
        <v>48</v>
      </c>
      <c r="G41" s="72">
        <f>Q5</f>
        <v>4.5</v>
      </c>
      <c r="H41" s="72"/>
      <c r="I41" s="72" t="s">
        <v>75</v>
      </c>
      <c r="J41" s="72">
        <f>M35</f>
        <v>5</v>
      </c>
      <c r="K41" s="72"/>
      <c r="L41" s="72" t="s">
        <v>3</v>
      </c>
      <c r="M41" s="91" t="s">
        <v>28</v>
      </c>
      <c r="N41" s="72">
        <v>-0.75</v>
      </c>
      <c r="O41" s="72"/>
      <c r="P41" s="72"/>
      <c r="Q41" s="77"/>
      <c r="R41" s="92">
        <f>ROUND((G41-J41)*N41,2)</f>
        <v>0.38</v>
      </c>
      <c r="S41" s="94"/>
      <c r="T41" s="95"/>
    </row>
    <row r="42" spans="1:20" ht="17.25" customHeight="1">
      <c r="A42" s="71" t="s">
        <v>79</v>
      </c>
      <c r="B42" s="72"/>
      <c r="C42" s="72"/>
      <c r="D42" s="86"/>
      <c r="E42" s="96"/>
      <c r="F42" s="97"/>
      <c r="G42" s="97"/>
      <c r="H42" s="97"/>
      <c r="I42" s="89">
        <v>3</v>
      </c>
      <c r="J42" s="97"/>
      <c r="K42" s="97" t="s">
        <v>80</v>
      </c>
      <c r="L42" s="97"/>
      <c r="M42" s="97">
        <v>5</v>
      </c>
      <c r="N42" s="97"/>
      <c r="O42" s="97"/>
      <c r="P42" s="97"/>
      <c r="Q42" s="98"/>
      <c r="R42" s="94">
        <v>3</v>
      </c>
      <c r="S42" s="94"/>
      <c r="T42" s="95"/>
    </row>
    <row r="43" spans="1:20" ht="17.25" customHeight="1">
      <c r="A43" s="71" t="s">
        <v>81</v>
      </c>
      <c r="B43" s="72"/>
      <c r="C43" s="72"/>
      <c r="D43" s="86"/>
      <c r="E43" s="88"/>
      <c r="F43" s="72">
        <f>E35</f>
        <v>43</v>
      </c>
      <c r="G43" s="72" t="s">
        <v>44</v>
      </c>
      <c r="H43" s="72">
        <f>R39</f>
        <v>0</v>
      </c>
      <c r="I43" s="72" t="s">
        <v>44</v>
      </c>
      <c r="J43" s="92">
        <f>R40</f>
        <v>-1.8</v>
      </c>
      <c r="K43" s="72"/>
      <c r="L43" s="72" t="s">
        <v>44</v>
      </c>
      <c r="M43" s="72">
        <f>R41</f>
        <v>0.38</v>
      </c>
      <c r="N43" s="72"/>
      <c r="O43" s="99" t="s">
        <v>44</v>
      </c>
      <c r="P43" s="94">
        <f>R42</f>
        <v>3</v>
      </c>
      <c r="Q43" s="77"/>
      <c r="R43" s="90">
        <f>ROUND(F43+H43+J43+M43+P43,1)</f>
        <v>44.6</v>
      </c>
      <c r="S43" s="94"/>
      <c r="T43" s="95"/>
    </row>
    <row r="44" ht="21" customHeight="1">
      <c r="A44" s="84" t="s">
        <v>82</v>
      </c>
    </row>
    <row r="45" spans="1:20" ht="16.5" customHeight="1">
      <c r="A45" s="85" t="s">
        <v>71</v>
      </c>
      <c r="B45" s="86"/>
      <c r="C45" s="86"/>
      <c r="D45" s="86"/>
      <c r="E45" s="87"/>
      <c r="F45" s="86" t="s">
        <v>72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  <c r="R45" s="86" t="s">
        <v>73</v>
      </c>
      <c r="S45" s="86"/>
      <c r="T45" s="87"/>
    </row>
    <row r="46" spans="1:20" ht="16.5" customHeight="1">
      <c r="A46" s="71" t="s">
        <v>83</v>
      </c>
      <c r="B46" s="72"/>
      <c r="C46" s="72"/>
      <c r="D46" s="86"/>
      <c r="E46" s="88"/>
      <c r="F46" s="72" t="s">
        <v>48</v>
      </c>
      <c r="G46" s="94">
        <f>G5</f>
        <v>15</v>
      </c>
      <c r="H46" s="72" t="s">
        <v>75</v>
      </c>
      <c r="I46" s="72">
        <f>H33</f>
        <v>8</v>
      </c>
      <c r="J46" s="72" t="s">
        <v>3</v>
      </c>
      <c r="K46" s="91" t="s">
        <v>28</v>
      </c>
      <c r="L46" s="72">
        <v>0.012</v>
      </c>
      <c r="M46" s="72"/>
      <c r="N46" s="91" t="s">
        <v>28</v>
      </c>
      <c r="O46" s="72">
        <f>I35</f>
        <v>160</v>
      </c>
      <c r="P46" s="72"/>
      <c r="Q46" s="100"/>
      <c r="R46" s="92">
        <f>ROUND((G46-I46)*L46*O46,2)</f>
        <v>13.44</v>
      </c>
      <c r="S46" s="94"/>
      <c r="T46" s="95"/>
    </row>
    <row r="47" spans="1:20" ht="16.5" customHeight="1">
      <c r="A47" s="71" t="s">
        <v>78</v>
      </c>
      <c r="B47" s="72"/>
      <c r="C47" s="72"/>
      <c r="D47" s="86"/>
      <c r="E47" s="96"/>
      <c r="F47" s="72" t="s">
        <v>48</v>
      </c>
      <c r="G47" s="72">
        <f>Q5</f>
        <v>4.5</v>
      </c>
      <c r="H47" s="72" t="s">
        <v>75</v>
      </c>
      <c r="I47" s="72">
        <f>M35</f>
        <v>5</v>
      </c>
      <c r="J47" s="72" t="s">
        <v>3</v>
      </c>
      <c r="K47" s="91" t="s">
        <v>28</v>
      </c>
      <c r="L47" s="72">
        <v>-0.03</v>
      </c>
      <c r="M47" s="72"/>
      <c r="N47" s="93" t="s">
        <v>28</v>
      </c>
      <c r="O47" s="72">
        <f>O46</f>
        <v>160</v>
      </c>
      <c r="P47" s="72"/>
      <c r="Q47" s="77"/>
      <c r="R47" s="92">
        <f>ROUND((G47-I47)*L47*O47,2)</f>
        <v>2.4</v>
      </c>
      <c r="S47" s="94"/>
      <c r="T47" s="95"/>
    </row>
    <row r="48" spans="1:20" ht="16.5" customHeight="1">
      <c r="A48" s="101" t="s">
        <v>79</v>
      </c>
      <c r="B48" s="102"/>
      <c r="C48" s="102"/>
      <c r="D48" s="103"/>
      <c r="E48" s="104"/>
      <c r="F48" s="76"/>
      <c r="G48" s="76"/>
      <c r="H48" s="76"/>
      <c r="I48" s="76">
        <v>9</v>
      </c>
      <c r="J48" s="76"/>
      <c r="K48" s="76" t="s">
        <v>80</v>
      </c>
      <c r="L48" s="76"/>
      <c r="M48" s="76">
        <v>15</v>
      </c>
      <c r="N48" s="76"/>
      <c r="O48" s="76"/>
      <c r="P48" s="76"/>
      <c r="Q48" s="77"/>
      <c r="R48" s="92">
        <v>9</v>
      </c>
      <c r="S48" s="94"/>
      <c r="T48" s="95"/>
    </row>
    <row r="49" spans="1:20" ht="16.5" customHeight="1">
      <c r="A49" s="101" t="s">
        <v>81</v>
      </c>
      <c r="B49" s="72"/>
      <c r="C49" s="102"/>
      <c r="D49" s="103"/>
      <c r="E49" s="104"/>
      <c r="F49" s="72" t="s">
        <v>48</v>
      </c>
      <c r="G49" s="90">
        <f>R43</f>
        <v>44.6</v>
      </c>
      <c r="H49" s="72"/>
      <c r="I49" s="72" t="s">
        <v>75</v>
      </c>
      <c r="J49" s="90">
        <f>E35</f>
        <v>43</v>
      </c>
      <c r="K49" s="72"/>
      <c r="L49" s="72" t="s">
        <v>3</v>
      </c>
      <c r="M49" s="91" t="s">
        <v>28</v>
      </c>
      <c r="N49" s="72">
        <v>1.5</v>
      </c>
      <c r="O49" s="72"/>
      <c r="P49" s="76"/>
      <c r="Q49" s="77"/>
      <c r="R49" s="92">
        <f>ROUND((G49-J49)*N49,2)</f>
        <v>2.4</v>
      </c>
      <c r="S49" s="94"/>
      <c r="T49" s="95"/>
    </row>
    <row r="50" spans="1:20" ht="16.5" customHeight="1">
      <c r="A50" s="71" t="s">
        <v>67</v>
      </c>
      <c r="B50" s="72"/>
      <c r="C50" s="72"/>
      <c r="D50" s="86"/>
      <c r="E50" s="88"/>
      <c r="F50" s="72">
        <f>I35</f>
        <v>160</v>
      </c>
      <c r="G50" s="72" t="s">
        <v>44</v>
      </c>
      <c r="H50" s="140">
        <f>R46</f>
        <v>13.44</v>
      </c>
      <c r="I50" s="72" t="s">
        <v>44</v>
      </c>
      <c r="J50" s="92">
        <f>R47</f>
        <v>2.4</v>
      </c>
      <c r="K50" s="72"/>
      <c r="L50" s="72" t="s">
        <v>44</v>
      </c>
      <c r="M50" s="90">
        <f>R48</f>
        <v>9</v>
      </c>
      <c r="N50" s="72" t="s">
        <v>44</v>
      </c>
      <c r="O50" s="92">
        <f>R49</f>
        <v>2.4</v>
      </c>
      <c r="P50" s="72"/>
      <c r="Q50" s="77"/>
      <c r="R50" s="90">
        <f>ROUND(F50+H50+J50+M50+O50,5)</f>
        <v>187.24</v>
      </c>
      <c r="S50" s="94"/>
      <c r="T50" s="95"/>
    </row>
    <row r="51" ht="12" customHeight="1"/>
    <row r="52" ht="16.5" customHeight="1">
      <c r="A52" s="7" t="s">
        <v>84</v>
      </c>
    </row>
    <row r="53" spans="1:18" ht="16.5" customHeight="1">
      <c r="A53" s="7" t="s">
        <v>85</v>
      </c>
      <c r="B53" s="7" t="s">
        <v>86</v>
      </c>
      <c r="F53" s="7" t="s">
        <v>34</v>
      </c>
      <c r="G53" s="7" t="s">
        <v>87</v>
      </c>
      <c r="L53" s="105">
        <f>O30</f>
        <v>46</v>
      </c>
      <c r="M53" s="84" t="s">
        <v>88</v>
      </c>
      <c r="O53" s="105">
        <f>R50</f>
        <v>187.24</v>
      </c>
      <c r="Q53" s="7" t="s">
        <v>89</v>
      </c>
      <c r="R53" s="7" t="s">
        <v>90</v>
      </c>
    </row>
    <row r="54" spans="6:15" ht="16.5" customHeight="1">
      <c r="F54" s="7" t="s">
        <v>91</v>
      </c>
      <c r="G54" s="79">
        <f>O53</f>
        <v>187.24</v>
      </c>
      <c r="H54" s="78"/>
      <c r="I54" s="106" t="s">
        <v>76</v>
      </c>
      <c r="J54" s="107">
        <f>ROUND(L53/100,2)</f>
        <v>0.46</v>
      </c>
      <c r="K54" s="107"/>
      <c r="L54" s="7" t="s">
        <v>26</v>
      </c>
      <c r="M54" s="79">
        <f>ROUND(G54/J54,0)</f>
        <v>407</v>
      </c>
      <c r="N54" s="79"/>
      <c r="O54" s="7" t="s">
        <v>89</v>
      </c>
    </row>
    <row r="55" spans="1:15" ht="16.5" customHeight="1">
      <c r="A55" s="7" t="s">
        <v>85</v>
      </c>
      <c r="B55" s="7" t="s">
        <v>92</v>
      </c>
      <c r="F55" s="7" t="s">
        <v>91</v>
      </c>
      <c r="G55" s="79">
        <f>M54</f>
        <v>407</v>
      </c>
      <c r="H55" s="78"/>
      <c r="I55" s="106" t="s">
        <v>76</v>
      </c>
      <c r="J55" s="78">
        <f>Q9</f>
        <v>3.05</v>
      </c>
      <c r="K55" s="78"/>
      <c r="L55" s="7" t="s">
        <v>26</v>
      </c>
      <c r="M55" s="79">
        <f>ROUND(G55/J55,0)</f>
        <v>133</v>
      </c>
      <c r="N55" s="79"/>
      <c r="O55" s="7" t="s">
        <v>93</v>
      </c>
    </row>
    <row r="56" spans="1:15" ht="16.5" customHeight="1">
      <c r="A56" s="7" t="s">
        <v>85</v>
      </c>
      <c r="B56" s="7" t="s">
        <v>94</v>
      </c>
      <c r="M56" s="78">
        <v>30</v>
      </c>
      <c r="N56" s="78"/>
      <c r="O56" s="7" t="s">
        <v>93</v>
      </c>
    </row>
    <row r="57" spans="1:20" ht="16.5" customHeight="1">
      <c r="A57" s="7" t="s">
        <v>85</v>
      </c>
      <c r="B57" s="7" t="s">
        <v>95</v>
      </c>
      <c r="F57" s="84" t="s">
        <v>96</v>
      </c>
      <c r="G57" s="7" t="s">
        <v>48</v>
      </c>
      <c r="H57" s="108">
        <f>M55/1000</f>
        <v>0.133</v>
      </c>
      <c r="I57" s="108"/>
      <c r="J57" s="108" t="s">
        <v>44</v>
      </c>
      <c r="K57" s="108">
        <f>R50/1000</f>
        <v>0.18724000000000002</v>
      </c>
      <c r="L57" s="108"/>
      <c r="M57" s="78" t="s">
        <v>44</v>
      </c>
      <c r="N57" s="78">
        <f>M56/1000</f>
        <v>0.03</v>
      </c>
      <c r="O57" s="78"/>
      <c r="P57" s="7" t="s">
        <v>3</v>
      </c>
      <c r="Q57" s="7" t="s">
        <v>26</v>
      </c>
      <c r="R57" s="108">
        <f>1-(H57+K57+N57)</f>
        <v>0.64976</v>
      </c>
      <c r="S57" s="107"/>
      <c r="T57" s="84" t="s">
        <v>97</v>
      </c>
    </row>
    <row r="58" spans="1:14" ht="16.5" customHeight="1">
      <c r="A58" s="7" t="s">
        <v>85</v>
      </c>
      <c r="B58" s="7" t="s">
        <v>98</v>
      </c>
      <c r="F58" s="108">
        <f>R57</f>
        <v>0.64976</v>
      </c>
      <c r="G58" s="78"/>
      <c r="H58" s="82" t="s">
        <v>28</v>
      </c>
      <c r="I58" s="108">
        <f>ROUND(R43/100,3)</f>
        <v>0.446</v>
      </c>
      <c r="J58" s="78"/>
      <c r="K58" s="78" t="s">
        <v>26</v>
      </c>
      <c r="L58" s="108">
        <f>ROUND(F58*I58,3)</f>
        <v>0.29</v>
      </c>
      <c r="M58" s="108"/>
      <c r="N58" s="84" t="s">
        <v>97</v>
      </c>
    </row>
    <row r="59" spans="1:14" ht="16.5" customHeight="1">
      <c r="A59" s="7" t="s">
        <v>85</v>
      </c>
      <c r="B59" s="7" t="s">
        <v>99</v>
      </c>
      <c r="F59" s="108">
        <f>R57</f>
        <v>0.64976</v>
      </c>
      <c r="G59" s="78"/>
      <c r="H59" s="78" t="s">
        <v>75</v>
      </c>
      <c r="I59" s="108">
        <f>L58</f>
        <v>0.29</v>
      </c>
      <c r="J59" s="78"/>
      <c r="K59" s="78" t="s">
        <v>26</v>
      </c>
      <c r="L59" s="108">
        <f>ROUND(F59-I59,3)</f>
        <v>0.36</v>
      </c>
      <c r="M59" s="78"/>
      <c r="N59" s="84" t="s">
        <v>97</v>
      </c>
    </row>
    <row r="60" spans="1:17" ht="21" customHeight="1">
      <c r="A60" s="7" t="s">
        <v>85</v>
      </c>
      <c r="B60" s="7" t="s">
        <v>100</v>
      </c>
      <c r="F60" s="108">
        <f>L58</f>
        <v>0.29</v>
      </c>
      <c r="G60" s="78"/>
      <c r="H60" s="82" t="s">
        <v>28</v>
      </c>
      <c r="I60" s="107">
        <f>G8</f>
        <v>2.58</v>
      </c>
      <c r="J60" s="78"/>
      <c r="K60" s="82" t="s">
        <v>28</v>
      </c>
      <c r="L60" s="78">
        <v>1000</v>
      </c>
      <c r="M60" s="78"/>
      <c r="N60" s="78" t="s">
        <v>26</v>
      </c>
      <c r="O60" s="79">
        <f>ROUND(F60*I60*L60,0)</f>
        <v>748</v>
      </c>
      <c r="P60" s="79"/>
      <c r="Q60" s="7" t="s">
        <v>89</v>
      </c>
    </row>
    <row r="61" spans="1:17" ht="21" customHeight="1">
      <c r="A61" s="7" t="s">
        <v>85</v>
      </c>
      <c r="B61" s="7" t="s">
        <v>101</v>
      </c>
      <c r="F61" s="108">
        <f>L59</f>
        <v>0.36</v>
      </c>
      <c r="G61" s="78"/>
      <c r="H61" s="82" t="s">
        <v>28</v>
      </c>
      <c r="I61" s="107">
        <f>G9</f>
        <v>2.7</v>
      </c>
      <c r="J61" s="78"/>
      <c r="K61" s="82" t="s">
        <v>28</v>
      </c>
      <c r="L61" s="78">
        <v>1000</v>
      </c>
      <c r="M61" s="78"/>
      <c r="N61" s="78" t="s">
        <v>26</v>
      </c>
      <c r="O61" s="79">
        <f>ROUND(F61*I61*L61,0)</f>
        <v>972</v>
      </c>
      <c r="P61" s="79"/>
      <c r="Q61" s="7" t="s">
        <v>89</v>
      </c>
    </row>
    <row r="62" spans="1:14" ht="22.5" customHeight="1">
      <c r="A62" s="7" t="s">
        <v>85</v>
      </c>
      <c r="B62" s="7" t="s">
        <v>102</v>
      </c>
      <c r="F62" s="79">
        <f>M54</f>
        <v>407</v>
      </c>
      <c r="G62" s="78"/>
      <c r="H62" s="82" t="s">
        <v>28</v>
      </c>
      <c r="I62" s="78">
        <v>0.003</v>
      </c>
      <c r="J62" s="78"/>
      <c r="K62" s="78" t="s">
        <v>26</v>
      </c>
      <c r="L62" s="107">
        <f>F62*I62</f>
        <v>1.221</v>
      </c>
      <c r="M62" s="107"/>
      <c r="N62" s="7" t="s">
        <v>89</v>
      </c>
    </row>
    <row r="63" ht="27.75" customHeight="1"/>
    <row r="64" ht="16.5" customHeight="1">
      <c r="A64" s="7" t="s">
        <v>103</v>
      </c>
    </row>
    <row r="65" ht="16.5" customHeight="1">
      <c r="A65" s="7" t="s">
        <v>104</v>
      </c>
    </row>
    <row r="66" ht="16.5" customHeight="1">
      <c r="A66" s="84" t="s">
        <v>105</v>
      </c>
    </row>
    <row r="67" spans="1:20" ht="19.5" customHeight="1">
      <c r="A67" s="31" t="s">
        <v>106</v>
      </c>
      <c r="B67" s="109"/>
      <c r="C67" s="32" t="s">
        <v>47</v>
      </c>
      <c r="D67" s="109"/>
      <c r="E67" s="32" t="s">
        <v>107</v>
      </c>
      <c r="F67" s="109"/>
      <c r="G67" s="32" t="s">
        <v>66</v>
      </c>
      <c r="H67" s="109"/>
      <c r="I67" s="86" t="s">
        <v>108</v>
      </c>
      <c r="J67" s="86"/>
      <c r="K67" s="86"/>
      <c r="L67" s="86"/>
      <c r="M67" s="86"/>
      <c r="N67" s="86"/>
      <c r="O67" s="86"/>
      <c r="P67" s="86"/>
      <c r="Q67" s="86"/>
      <c r="R67" s="87"/>
      <c r="S67" s="32" t="s">
        <v>69</v>
      </c>
      <c r="T67" s="109"/>
    </row>
    <row r="68" spans="1:20" ht="19.5" customHeight="1">
      <c r="A68" s="71"/>
      <c r="B68" s="88"/>
      <c r="C68" s="72" t="s">
        <v>109</v>
      </c>
      <c r="D68" s="88"/>
      <c r="E68" s="89"/>
      <c r="F68" s="88"/>
      <c r="G68" s="72" t="s">
        <v>110</v>
      </c>
      <c r="H68" s="88"/>
      <c r="I68" s="72" t="s">
        <v>111</v>
      </c>
      <c r="J68" s="88"/>
      <c r="K68" s="72" t="s">
        <v>67</v>
      </c>
      <c r="L68" s="88"/>
      <c r="M68" s="72" t="s">
        <v>112</v>
      </c>
      <c r="N68" s="88"/>
      <c r="O68" s="72" t="s">
        <v>113</v>
      </c>
      <c r="P68" s="88"/>
      <c r="Q68" s="72" t="s">
        <v>114</v>
      </c>
      <c r="R68" s="88"/>
      <c r="S68" s="89"/>
      <c r="T68" s="88"/>
    </row>
    <row r="69" spans="1:20" ht="22.5" customHeight="1">
      <c r="A69" s="71">
        <v>1</v>
      </c>
      <c r="B69" s="110" t="s">
        <v>97</v>
      </c>
      <c r="C69" s="111"/>
      <c r="D69" s="112"/>
      <c r="E69" s="51"/>
      <c r="F69" s="112"/>
      <c r="G69" s="51"/>
      <c r="H69" s="112"/>
      <c r="I69" s="94">
        <f>M54</f>
        <v>407</v>
      </c>
      <c r="J69" s="88"/>
      <c r="K69" s="94">
        <f>O53</f>
        <v>187.24</v>
      </c>
      <c r="L69" s="88"/>
      <c r="M69" s="94">
        <f>O60</f>
        <v>748</v>
      </c>
      <c r="N69" s="88"/>
      <c r="O69" s="94">
        <f>O61</f>
        <v>972</v>
      </c>
      <c r="P69" s="88"/>
      <c r="Q69" s="92">
        <f>L62</f>
        <v>1.221</v>
      </c>
      <c r="R69" s="88"/>
      <c r="S69" s="111"/>
      <c r="T69" s="112"/>
    </row>
    <row r="70" spans="1:20" ht="22.5" customHeight="1">
      <c r="A70" s="71" t="s">
        <v>115</v>
      </c>
      <c r="B70" s="88"/>
      <c r="C70" s="94">
        <f>L53</f>
        <v>46</v>
      </c>
      <c r="D70" s="88"/>
      <c r="E70" s="94">
        <f>G5</f>
        <v>15</v>
      </c>
      <c r="F70" s="88"/>
      <c r="G70" s="90">
        <f>R43</f>
        <v>44.6</v>
      </c>
      <c r="H70" s="88"/>
      <c r="I70" s="113">
        <f>I69*0.04</f>
        <v>16.28</v>
      </c>
      <c r="J70" s="114"/>
      <c r="K70" s="113">
        <f>K69*0.04</f>
        <v>7.4896</v>
      </c>
      <c r="L70" s="114"/>
      <c r="M70" s="113">
        <f>M69*0.04</f>
        <v>29.92</v>
      </c>
      <c r="N70" s="114"/>
      <c r="O70" s="113">
        <f>O69*0.04</f>
        <v>38.88</v>
      </c>
      <c r="P70" s="114"/>
      <c r="Q70" s="113">
        <f>Q69*0.04</f>
        <v>0.04884</v>
      </c>
      <c r="R70" s="114"/>
      <c r="S70" s="89"/>
      <c r="T70" s="88"/>
    </row>
    <row r="71" ht="19.5" customHeight="1">
      <c r="A71" s="84" t="s">
        <v>116</v>
      </c>
    </row>
    <row r="72" spans="1:22" ht="27.75" customHeight="1">
      <c r="A72" s="85" t="s">
        <v>117</v>
      </c>
      <c r="B72" s="86"/>
      <c r="C72" s="86"/>
      <c r="D72" s="86"/>
      <c r="E72" s="87"/>
      <c r="F72" s="86" t="s">
        <v>118</v>
      </c>
      <c r="G72" s="86"/>
      <c r="H72" s="86"/>
      <c r="I72" s="86"/>
      <c r="J72" s="87"/>
      <c r="K72" s="86" t="s">
        <v>119</v>
      </c>
      <c r="L72" s="86"/>
      <c r="M72" s="86"/>
      <c r="N72" s="86"/>
      <c r="O72" s="87"/>
      <c r="P72" s="86" t="s">
        <v>120</v>
      </c>
      <c r="Q72" s="86"/>
      <c r="R72" s="86"/>
      <c r="S72" s="86"/>
      <c r="T72" s="87"/>
      <c r="V72" s="105">
        <f>K244</f>
        <v>182</v>
      </c>
    </row>
    <row r="73" spans="1:22" ht="24.75" customHeight="1">
      <c r="A73" s="71">
        <v>17.5</v>
      </c>
      <c r="B73" s="72"/>
      <c r="C73" s="72"/>
      <c r="D73" s="72"/>
      <c r="E73" s="88"/>
      <c r="F73" s="72">
        <v>4.8</v>
      </c>
      <c r="G73" s="72"/>
      <c r="H73" s="72"/>
      <c r="I73" s="72"/>
      <c r="J73" s="88"/>
      <c r="K73" s="72" t="s">
        <v>121</v>
      </c>
      <c r="L73" s="72"/>
      <c r="M73" s="72"/>
      <c r="N73" s="72"/>
      <c r="O73" s="88"/>
      <c r="P73" s="89"/>
      <c r="Q73" s="72"/>
      <c r="R73" s="72"/>
      <c r="S73" s="72"/>
      <c r="T73" s="88"/>
      <c r="V73" s="115">
        <f>G244</f>
        <v>45</v>
      </c>
    </row>
    <row r="74" ht="16.5" customHeight="1"/>
    <row r="75" ht="16.5" customHeight="1">
      <c r="B75" s="7" t="s">
        <v>122</v>
      </c>
    </row>
    <row r="76" spans="1:20" ht="16.5" customHeight="1">
      <c r="A76" s="85" t="s">
        <v>71</v>
      </c>
      <c r="B76" s="86"/>
      <c r="C76" s="86"/>
      <c r="D76" s="86"/>
      <c r="E76" s="87"/>
      <c r="F76" s="86" t="s">
        <v>72</v>
      </c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7"/>
      <c r="R76" s="86" t="s">
        <v>73</v>
      </c>
      <c r="S76" s="86"/>
      <c r="T76" s="87"/>
    </row>
    <row r="77" spans="1:20" ht="16.5" customHeight="1">
      <c r="A77" s="71" t="s">
        <v>123</v>
      </c>
      <c r="B77" s="72"/>
      <c r="C77" s="72"/>
      <c r="D77" s="86"/>
      <c r="E77" s="88"/>
      <c r="F77" s="89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88"/>
      <c r="R77" s="90">
        <f>R43</f>
        <v>44.6</v>
      </c>
      <c r="S77" s="72"/>
      <c r="T77" s="88"/>
    </row>
    <row r="78" spans="1:20" ht="16.5" customHeight="1">
      <c r="A78" s="71" t="s">
        <v>83</v>
      </c>
      <c r="B78" s="72"/>
      <c r="C78" s="72"/>
      <c r="D78" s="86"/>
      <c r="E78" s="88"/>
      <c r="F78" s="72" t="s">
        <v>124</v>
      </c>
      <c r="G78" s="92"/>
      <c r="H78" s="72"/>
      <c r="I78" s="72"/>
      <c r="J78" s="72"/>
      <c r="K78" s="72"/>
      <c r="L78" s="72"/>
      <c r="M78" s="72"/>
      <c r="N78" s="72"/>
      <c r="O78" s="72"/>
      <c r="P78" s="72"/>
      <c r="Q78" s="88"/>
      <c r="R78" s="92">
        <v>0</v>
      </c>
      <c r="S78" s="94"/>
      <c r="T78" s="95"/>
    </row>
    <row r="79" spans="1:20" ht="16.5" customHeight="1">
      <c r="A79" s="71" t="s">
        <v>78</v>
      </c>
      <c r="B79" s="72"/>
      <c r="C79" s="72"/>
      <c r="D79" s="86"/>
      <c r="E79" s="96"/>
      <c r="F79" s="72" t="s">
        <v>48</v>
      </c>
      <c r="G79" s="72">
        <f>Q5</f>
        <v>4.5</v>
      </c>
      <c r="H79" s="72"/>
      <c r="I79" s="72" t="s">
        <v>75</v>
      </c>
      <c r="J79" s="72">
        <f>F73</f>
        <v>4.8</v>
      </c>
      <c r="K79" s="72"/>
      <c r="L79" s="72" t="s">
        <v>3</v>
      </c>
      <c r="M79" s="91" t="s">
        <v>28</v>
      </c>
      <c r="N79" s="72">
        <v>0.75</v>
      </c>
      <c r="O79" s="72"/>
      <c r="P79" s="72"/>
      <c r="Q79" s="77"/>
      <c r="R79" s="92">
        <f>ROUND((G79-J79)*N79,2)</f>
        <v>-0.23</v>
      </c>
      <c r="S79" s="94"/>
      <c r="T79" s="95"/>
    </row>
    <row r="80" spans="1:20" ht="16.5" customHeight="1">
      <c r="A80" s="71" t="s">
        <v>81</v>
      </c>
      <c r="B80" s="72"/>
      <c r="C80" s="72"/>
      <c r="D80" s="86"/>
      <c r="E80" s="88"/>
      <c r="F80" s="116"/>
      <c r="G80" s="90">
        <f>R77</f>
        <v>44.6</v>
      </c>
      <c r="H80" s="72"/>
      <c r="I80" s="72" t="s">
        <v>44</v>
      </c>
      <c r="J80" s="92">
        <f>R78</f>
        <v>0</v>
      </c>
      <c r="K80" s="72"/>
      <c r="L80" s="72" t="s">
        <v>44</v>
      </c>
      <c r="M80" s="72"/>
      <c r="N80" s="92">
        <f>R79</f>
        <v>-0.23</v>
      </c>
      <c r="O80" s="92"/>
      <c r="P80" s="117"/>
      <c r="Q80" s="77"/>
      <c r="R80" s="90">
        <f>ROUND(G80+J80+N80,1)</f>
        <v>44.4</v>
      </c>
      <c r="S80" s="94"/>
      <c r="T80" s="95"/>
    </row>
    <row r="81" ht="22.5" customHeight="1">
      <c r="B81" s="7" t="s">
        <v>125</v>
      </c>
    </row>
    <row r="82" spans="1:20" ht="16.5" customHeight="1">
      <c r="A82" s="85" t="s">
        <v>71</v>
      </c>
      <c r="B82" s="86"/>
      <c r="C82" s="86"/>
      <c r="D82" s="86"/>
      <c r="E82" s="87"/>
      <c r="F82" s="86" t="s">
        <v>72</v>
      </c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7"/>
      <c r="R82" s="86" t="s">
        <v>73</v>
      </c>
      <c r="S82" s="86"/>
      <c r="T82" s="87"/>
    </row>
    <row r="83" spans="1:20" ht="16.5" customHeight="1">
      <c r="A83" s="71" t="s">
        <v>123</v>
      </c>
      <c r="B83" s="72"/>
      <c r="C83" s="72"/>
      <c r="D83" s="86"/>
      <c r="E83" s="88"/>
      <c r="F83" s="89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88"/>
      <c r="R83" s="90">
        <f>R50</f>
        <v>187.24</v>
      </c>
      <c r="S83" s="72"/>
      <c r="T83" s="88"/>
    </row>
    <row r="84" spans="1:20" ht="16.5" customHeight="1">
      <c r="A84" s="71" t="s">
        <v>83</v>
      </c>
      <c r="B84" s="72"/>
      <c r="C84" s="72"/>
      <c r="D84" s="86"/>
      <c r="E84" s="88"/>
      <c r="F84" s="72" t="s">
        <v>48</v>
      </c>
      <c r="G84" s="94">
        <f>E70</f>
        <v>15</v>
      </c>
      <c r="H84" s="72" t="s">
        <v>75</v>
      </c>
      <c r="I84" s="72">
        <f>A73</f>
        <v>17.5</v>
      </c>
      <c r="J84" s="72" t="s">
        <v>3</v>
      </c>
      <c r="K84" s="91" t="s">
        <v>28</v>
      </c>
      <c r="L84" s="72">
        <v>0.012</v>
      </c>
      <c r="M84" s="72"/>
      <c r="N84" s="91" t="s">
        <v>28</v>
      </c>
      <c r="O84" s="94">
        <f>R83</f>
        <v>187.24</v>
      </c>
      <c r="P84" s="72"/>
      <c r="Q84" s="100"/>
      <c r="R84" s="92">
        <f>ROUND((G84-I84)*L84*O84,2)</f>
        <v>-5.62</v>
      </c>
      <c r="S84" s="94"/>
      <c r="T84" s="95"/>
    </row>
    <row r="85" spans="1:20" ht="16.5" customHeight="1">
      <c r="A85" s="71" t="s">
        <v>78</v>
      </c>
      <c r="B85" s="72"/>
      <c r="C85" s="72"/>
      <c r="D85" s="86"/>
      <c r="E85" s="96"/>
      <c r="F85" s="72" t="s">
        <v>48</v>
      </c>
      <c r="G85" s="72">
        <f>Q5</f>
        <v>4.5</v>
      </c>
      <c r="H85" s="72" t="s">
        <v>75</v>
      </c>
      <c r="I85" s="72">
        <f>F73</f>
        <v>4.8</v>
      </c>
      <c r="J85" s="72" t="s">
        <v>3</v>
      </c>
      <c r="K85" s="91" t="s">
        <v>28</v>
      </c>
      <c r="L85" s="72">
        <v>0.03</v>
      </c>
      <c r="M85" s="72"/>
      <c r="N85" s="91" t="s">
        <v>28</v>
      </c>
      <c r="O85" s="94">
        <f>R83</f>
        <v>187.24</v>
      </c>
      <c r="P85" s="72"/>
      <c r="Q85" s="77"/>
      <c r="R85" s="92">
        <f>ROUND((G85-I85)*L85*O85,2)</f>
        <v>-1.69</v>
      </c>
      <c r="S85" s="94"/>
      <c r="T85" s="95"/>
    </row>
    <row r="86" spans="1:20" ht="16.5" customHeight="1">
      <c r="A86" s="71" t="s">
        <v>66</v>
      </c>
      <c r="B86" s="72"/>
      <c r="C86" s="72"/>
      <c r="D86" s="86"/>
      <c r="E86" s="96"/>
      <c r="F86" s="72" t="s">
        <v>48</v>
      </c>
      <c r="G86" s="90">
        <f>R80</f>
        <v>44.4</v>
      </c>
      <c r="H86" s="72"/>
      <c r="I86" s="72" t="s">
        <v>75</v>
      </c>
      <c r="J86" s="90">
        <f>G80</f>
        <v>44.6</v>
      </c>
      <c r="K86" s="72"/>
      <c r="L86" s="72" t="s">
        <v>3</v>
      </c>
      <c r="M86" s="72"/>
      <c r="N86" s="91" t="s">
        <v>28</v>
      </c>
      <c r="O86" s="72">
        <f>1.5</f>
        <v>1.5</v>
      </c>
      <c r="P86" s="72"/>
      <c r="Q86" s="77"/>
      <c r="R86" s="92">
        <f>ROUND((G86-J86)*O86,2)</f>
        <v>-0.3</v>
      </c>
      <c r="S86" s="94"/>
      <c r="T86" s="95"/>
    </row>
    <row r="87" spans="1:20" ht="16.5" customHeight="1">
      <c r="A87" s="71" t="s">
        <v>67</v>
      </c>
      <c r="B87" s="72"/>
      <c r="C87" s="72"/>
      <c r="D87" s="86"/>
      <c r="E87" s="88"/>
      <c r="F87" s="116"/>
      <c r="G87" s="90">
        <f>R83</f>
        <v>187.24</v>
      </c>
      <c r="H87" s="72"/>
      <c r="I87" s="72" t="s">
        <v>44</v>
      </c>
      <c r="J87" s="92">
        <f>R84</f>
        <v>-5.62</v>
      </c>
      <c r="K87" s="72"/>
      <c r="L87" s="72" t="s">
        <v>44</v>
      </c>
      <c r="M87" s="92">
        <f>R85</f>
        <v>-1.69</v>
      </c>
      <c r="N87" s="72"/>
      <c r="O87" s="92" t="s">
        <v>44</v>
      </c>
      <c r="P87" s="92">
        <f>R86</f>
        <v>-0.3</v>
      </c>
      <c r="Q87" s="118"/>
      <c r="R87" s="90">
        <f>ROUND(G87+J87+M87+P87,5)</f>
        <v>179.63</v>
      </c>
      <c r="S87" s="94"/>
      <c r="T87" s="95"/>
    </row>
    <row r="88" ht="22.5" customHeight="1">
      <c r="B88" s="7" t="s">
        <v>126</v>
      </c>
    </row>
    <row r="89" spans="1:18" ht="23.25" customHeight="1">
      <c r="A89" s="7" t="s">
        <v>85</v>
      </c>
      <c r="B89" s="7" t="s">
        <v>86</v>
      </c>
      <c r="F89" s="7" t="s">
        <v>34</v>
      </c>
      <c r="G89" s="7" t="s">
        <v>87</v>
      </c>
      <c r="L89" s="105">
        <f>C70</f>
        <v>46</v>
      </c>
      <c r="M89" s="84" t="s">
        <v>88</v>
      </c>
      <c r="O89" s="79">
        <f>R87</f>
        <v>179.63</v>
      </c>
      <c r="P89" s="83"/>
      <c r="Q89" s="7" t="s">
        <v>89</v>
      </c>
      <c r="R89" s="7" t="s">
        <v>90</v>
      </c>
    </row>
    <row r="90" spans="6:15" ht="23.25" customHeight="1">
      <c r="F90" s="7" t="s">
        <v>91</v>
      </c>
      <c r="G90" s="79">
        <f>O89</f>
        <v>179.63</v>
      </c>
      <c r="H90" s="78"/>
      <c r="I90" s="106" t="s">
        <v>76</v>
      </c>
      <c r="J90" s="107">
        <f>ROUND(L89/100,2)</f>
        <v>0.46</v>
      </c>
      <c r="K90" s="107"/>
      <c r="L90" s="7" t="s">
        <v>26</v>
      </c>
      <c r="M90" s="79">
        <f>ROUND(G90/J90,0)</f>
        <v>391</v>
      </c>
      <c r="N90" s="79"/>
      <c r="O90" s="7" t="s">
        <v>89</v>
      </c>
    </row>
    <row r="91" spans="1:15" ht="23.25" customHeight="1">
      <c r="A91" s="7" t="s">
        <v>85</v>
      </c>
      <c r="B91" s="7" t="s">
        <v>92</v>
      </c>
      <c r="F91" s="7" t="s">
        <v>91</v>
      </c>
      <c r="G91" s="79">
        <f>M90</f>
        <v>391</v>
      </c>
      <c r="H91" s="78"/>
      <c r="I91" s="106" t="s">
        <v>76</v>
      </c>
      <c r="J91" s="78">
        <f>J55</f>
        <v>3.05</v>
      </c>
      <c r="K91" s="78"/>
      <c r="L91" s="7" t="s">
        <v>26</v>
      </c>
      <c r="M91" s="79">
        <f>ROUND(G91/J91,0)</f>
        <v>128</v>
      </c>
      <c r="N91" s="79"/>
      <c r="O91" s="7" t="s">
        <v>93</v>
      </c>
    </row>
    <row r="92" spans="1:15" ht="23.25" customHeight="1">
      <c r="A92" s="7" t="s">
        <v>85</v>
      </c>
      <c r="B92" s="7" t="s">
        <v>94</v>
      </c>
      <c r="M92" s="78">
        <f>M56</f>
        <v>30</v>
      </c>
      <c r="N92" s="78"/>
      <c r="O92" s="7" t="s">
        <v>93</v>
      </c>
    </row>
    <row r="93" spans="1:20" ht="27" customHeight="1">
      <c r="A93" s="7" t="s">
        <v>85</v>
      </c>
      <c r="B93" s="7" t="s">
        <v>95</v>
      </c>
      <c r="F93" s="84" t="s">
        <v>96</v>
      </c>
      <c r="G93" s="7" t="s">
        <v>48</v>
      </c>
      <c r="H93" s="108">
        <f>M91/1000</f>
        <v>0.128</v>
      </c>
      <c r="I93" s="108"/>
      <c r="J93" s="108" t="s">
        <v>44</v>
      </c>
      <c r="K93" s="108">
        <f>O89/1000</f>
        <v>0.17962999999999998</v>
      </c>
      <c r="L93" s="108"/>
      <c r="M93" s="78" t="s">
        <v>44</v>
      </c>
      <c r="N93" s="78">
        <f>M92/1000</f>
        <v>0.03</v>
      </c>
      <c r="O93" s="78"/>
      <c r="P93" s="7" t="s">
        <v>3</v>
      </c>
      <c r="Q93" s="7" t="s">
        <v>26</v>
      </c>
      <c r="R93" s="108">
        <f>1-(H93+K93+N93)</f>
        <v>0.66237</v>
      </c>
      <c r="S93" s="107"/>
      <c r="T93" s="84" t="s">
        <v>97</v>
      </c>
    </row>
    <row r="94" spans="1:14" ht="27" customHeight="1">
      <c r="A94" s="7" t="s">
        <v>85</v>
      </c>
      <c r="B94" s="7" t="s">
        <v>98</v>
      </c>
      <c r="F94" s="108">
        <f>R93</f>
        <v>0.66237</v>
      </c>
      <c r="G94" s="78"/>
      <c r="H94" s="82" t="s">
        <v>28</v>
      </c>
      <c r="I94" s="108">
        <f>ROUND(R80/100,3)</f>
        <v>0.444</v>
      </c>
      <c r="J94" s="78"/>
      <c r="K94" s="78" t="s">
        <v>26</v>
      </c>
      <c r="L94" s="108">
        <f>ROUND(F94*I94,3)</f>
        <v>0.294</v>
      </c>
      <c r="M94" s="108"/>
      <c r="N94" s="84" t="s">
        <v>97</v>
      </c>
    </row>
    <row r="95" spans="1:14" ht="27" customHeight="1">
      <c r="A95" s="7" t="s">
        <v>85</v>
      </c>
      <c r="B95" s="7" t="s">
        <v>99</v>
      </c>
      <c r="F95" s="108">
        <f>R93</f>
        <v>0.66237</v>
      </c>
      <c r="G95" s="78"/>
      <c r="H95" s="78" t="s">
        <v>75</v>
      </c>
      <c r="I95" s="108">
        <f>L94</f>
        <v>0.294</v>
      </c>
      <c r="J95" s="78"/>
      <c r="K95" s="78" t="s">
        <v>26</v>
      </c>
      <c r="L95" s="108">
        <f>ROUND(F95-I95,3)</f>
        <v>0.368</v>
      </c>
      <c r="M95" s="78"/>
      <c r="N95" s="84" t="s">
        <v>97</v>
      </c>
    </row>
    <row r="96" spans="1:17" ht="27" customHeight="1">
      <c r="A96" s="7" t="s">
        <v>85</v>
      </c>
      <c r="B96" s="7" t="s">
        <v>100</v>
      </c>
      <c r="F96" s="108">
        <f>L94</f>
        <v>0.294</v>
      </c>
      <c r="G96" s="78"/>
      <c r="H96" s="82" t="s">
        <v>28</v>
      </c>
      <c r="I96" s="78">
        <f>I60</f>
        <v>2.58</v>
      </c>
      <c r="J96" s="78"/>
      <c r="K96" s="82" t="s">
        <v>28</v>
      </c>
      <c r="L96" s="78">
        <v>1000</v>
      </c>
      <c r="M96" s="78"/>
      <c r="N96" s="78" t="s">
        <v>26</v>
      </c>
      <c r="O96" s="79">
        <f>ROUND(F96*I96*L96,0)</f>
        <v>759</v>
      </c>
      <c r="P96" s="79"/>
      <c r="Q96" s="7" t="s">
        <v>89</v>
      </c>
    </row>
    <row r="97" spans="1:17" ht="27" customHeight="1">
      <c r="A97" s="7" t="s">
        <v>85</v>
      </c>
      <c r="B97" s="7" t="s">
        <v>101</v>
      </c>
      <c r="F97" s="108">
        <f>L95</f>
        <v>0.368</v>
      </c>
      <c r="G97" s="78"/>
      <c r="H97" s="82" t="s">
        <v>28</v>
      </c>
      <c r="I97" s="107">
        <f>I61</f>
        <v>2.7</v>
      </c>
      <c r="J97" s="78"/>
      <c r="K97" s="82" t="s">
        <v>28</v>
      </c>
      <c r="L97" s="78">
        <v>1000</v>
      </c>
      <c r="M97" s="78"/>
      <c r="N97" s="78" t="s">
        <v>26</v>
      </c>
      <c r="O97" s="79">
        <f>ROUND(F97*I97*L97,0)</f>
        <v>994</v>
      </c>
      <c r="P97" s="79"/>
      <c r="Q97" s="7" t="s">
        <v>89</v>
      </c>
    </row>
    <row r="98" spans="1:14" ht="27" customHeight="1">
      <c r="A98" s="7" t="s">
        <v>85</v>
      </c>
      <c r="B98" s="7" t="s">
        <v>102</v>
      </c>
      <c r="F98" s="79">
        <f>M90</f>
        <v>391</v>
      </c>
      <c r="G98" s="78"/>
      <c r="H98" s="82" t="s">
        <v>28</v>
      </c>
      <c r="I98" s="78">
        <f>I62</f>
        <v>0.003</v>
      </c>
      <c r="J98" s="78"/>
      <c r="K98" s="78" t="s">
        <v>26</v>
      </c>
      <c r="L98" s="107">
        <f>F98*I98</f>
        <v>1.173</v>
      </c>
      <c r="M98" s="107"/>
      <c r="N98" s="7" t="s">
        <v>89</v>
      </c>
    </row>
    <row r="99" ht="27" customHeight="1"/>
    <row r="100" ht="24.75" customHeight="1">
      <c r="A100" s="84" t="s">
        <v>127</v>
      </c>
    </row>
    <row r="101" ht="22.5" customHeight="1">
      <c r="A101" s="84" t="s">
        <v>105</v>
      </c>
    </row>
    <row r="102" spans="1:20" ht="21" customHeight="1">
      <c r="A102" s="31" t="s">
        <v>106</v>
      </c>
      <c r="B102" s="109"/>
      <c r="C102" s="32" t="s">
        <v>47</v>
      </c>
      <c r="D102" s="109"/>
      <c r="E102" s="32" t="s">
        <v>107</v>
      </c>
      <c r="F102" s="109"/>
      <c r="G102" s="32" t="s">
        <v>66</v>
      </c>
      <c r="H102" s="109"/>
      <c r="I102" s="86" t="s">
        <v>108</v>
      </c>
      <c r="J102" s="86"/>
      <c r="K102" s="86"/>
      <c r="L102" s="86"/>
      <c r="M102" s="86"/>
      <c r="N102" s="86"/>
      <c r="O102" s="86"/>
      <c r="P102" s="86"/>
      <c r="Q102" s="86"/>
      <c r="R102" s="87"/>
      <c r="S102" s="32" t="s">
        <v>69</v>
      </c>
      <c r="T102" s="109"/>
    </row>
    <row r="103" spans="1:20" ht="21" customHeight="1">
      <c r="A103" s="71"/>
      <c r="B103" s="88"/>
      <c r="C103" s="72" t="s">
        <v>109</v>
      </c>
      <c r="D103" s="88"/>
      <c r="E103" s="89"/>
      <c r="F103" s="88"/>
      <c r="G103" s="72" t="s">
        <v>110</v>
      </c>
      <c r="H103" s="88"/>
      <c r="I103" s="72" t="s">
        <v>111</v>
      </c>
      <c r="J103" s="88"/>
      <c r="K103" s="72" t="s">
        <v>67</v>
      </c>
      <c r="L103" s="88"/>
      <c r="M103" s="72" t="s">
        <v>112</v>
      </c>
      <c r="N103" s="88"/>
      <c r="O103" s="72" t="s">
        <v>113</v>
      </c>
      <c r="P103" s="88"/>
      <c r="Q103" s="72" t="s">
        <v>114</v>
      </c>
      <c r="R103" s="88"/>
      <c r="S103" s="89"/>
      <c r="T103" s="88"/>
    </row>
    <row r="104" spans="1:20" ht="21" customHeight="1">
      <c r="A104" s="71">
        <v>1</v>
      </c>
      <c r="B104" s="110" t="s">
        <v>97</v>
      </c>
      <c r="C104" s="111"/>
      <c r="D104" s="112"/>
      <c r="E104" s="51"/>
      <c r="F104" s="112"/>
      <c r="G104" s="51"/>
      <c r="H104" s="112"/>
      <c r="I104" s="94">
        <f>M90</f>
        <v>391</v>
      </c>
      <c r="J104" s="88"/>
      <c r="K104" s="94">
        <f>O89</f>
        <v>179.63</v>
      </c>
      <c r="L104" s="88"/>
      <c r="M104" s="94">
        <f>O96</f>
        <v>759</v>
      </c>
      <c r="N104" s="88"/>
      <c r="O104" s="94">
        <f>O97</f>
        <v>994</v>
      </c>
      <c r="P104" s="88"/>
      <c r="Q104" s="92">
        <f>L98</f>
        <v>1.173</v>
      </c>
      <c r="R104" s="88"/>
      <c r="S104" s="111"/>
      <c r="T104" s="112"/>
    </row>
    <row r="105" spans="1:20" ht="21" customHeight="1">
      <c r="A105" s="71" t="s">
        <v>115</v>
      </c>
      <c r="B105" s="88"/>
      <c r="C105" s="94">
        <f>L89</f>
        <v>46</v>
      </c>
      <c r="D105" s="88"/>
      <c r="E105" s="72">
        <f>E70</f>
        <v>15</v>
      </c>
      <c r="F105" s="88"/>
      <c r="G105" s="94">
        <f>R80</f>
        <v>44.4</v>
      </c>
      <c r="H105" s="88"/>
      <c r="I105" s="113">
        <f>I104*0.04</f>
        <v>15.64</v>
      </c>
      <c r="J105" s="114"/>
      <c r="K105" s="113">
        <f>K104*0.04</f>
        <v>7.1852</v>
      </c>
      <c r="L105" s="114"/>
      <c r="M105" s="113">
        <f>M104*0.04</f>
        <v>30.36</v>
      </c>
      <c r="N105" s="114"/>
      <c r="O105" s="113">
        <f>O104*0.04</f>
        <v>39.76</v>
      </c>
      <c r="P105" s="114"/>
      <c r="Q105" s="113">
        <f>Q104*0.04</f>
        <v>0.04692</v>
      </c>
      <c r="R105" s="114"/>
      <c r="S105" s="89"/>
      <c r="T105" s="88"/>
    </row>
    <row r="106" ht="23.25" customHeight="1">
      <c r="A106" s="84" t="s">
        <v>116</v>
      </c>
    </row>
    <row r="107" spans="1:20" ht="16.5" customHeight="1">
      <c r="A107" s="85" t="s">
        <v>117</v>
      </c>
      <c r="B107" s="86"/>
      <c r="C107" s="86"/>
      <c r="D107" s="86"/>
      <c r="E107" s="87"/>
      <c r="F107" s="86" t="s">
        <v>118</v>
      </c>
      <c r="G107" s="86"/>
      <c r="H107" s="86"/>
      <c r="I107" s="86"/>
      <c r="J107" s="87"/>
      <c r="K107" s="86" t="s">
        <v>119</v>
      </c>
      <c r="L107" s="86"/>
      <c r="M107" s="86"/>
      <c r="N107" s="86"/>
      <c r="O107" s="87"/>
      <c r="P107" s="86" t="s">
        <v>120</v>
      </c>
      <c r="Q107" s="86"/>
      <c r="R107" s="86"/>
      <c r="S107" s="86"/>
      <c r="T107" s="87"/>
    </row>
    <row r="108" spans="1:20" ht="16.5" customHeight="1">
      <c r="A108" s="71">
        <v>13.7</v>
      </c>
      <c r="B108" s="72"/>
      <c r="C108" s="72"/>
      <c r="D108" s="72"/>
      <c r="E108" s="88"/>
      <c r="F108" s="72">
        <v>3.7</v>
      </c>
      <c r="G108" s="72"/>
      <c r="H108" s="72"/>
      <c r="I108" s="72"/>
      <c r="J108" s="88"/>
      <c r="K108" s="72" t="s">
        <v>121</v>
      </c>
      <c r="L108" s="72"/>
      <c r="M108" s="72"/>
      <c r="N108" s="72"/>
      <c r="O108" s="88"/>
      <c r="P108" s="89"/>
      <c r="Q108" s="72"/>
      <c r="R108" s="72"/>
      <c r="S108" s="72"/>
      <c r="T108" s="88"/>
    </row>
    <row r="109" ht="23.25" customHeight="1">
      <c r="A109" s="84" t="s">
        <v>128</v>
      </c>
    </row>
    <row r="110" ht="16.5" customHeight="1">
      <c r="B110" s="7" t="s">
        <v>122</v>
      </c>
    </row>
    <row r="111" spans="1:20" ht="16.5" customHeight="1">
      <c r="A111" s="85" t="s">
        <v>71</v>
      </c>
      <c r="B111" s="86"/>
      <c r="C111" s="86"/>
      <c r="D111" s="86"/>
      <c r="E111" s="87"/>
      <c r="F111" s="86" t="s">
        <v>72</v>
      </c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7"/>
      <c r="R111" s="86" t="s">
        <v>73</v>
      </c>
      <c r="S111" s="86"/>
      <c r="T111" s="87"/>
    </row>
    <row r="112" spans="1:20" ht="16.5" customHeight="1">
      <c r="A112" s="71" t="s">
        <v>129</v>
      </c>
      <c r="B112" s="72"/>
      <c r="C112" s="72"/>
      <c r="D112" s="86"/>
      <c r="E112" s="88"/>
      <c r="F112" s="89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88"/>
      <c r="R112" s="90">
        <f>R80</f>
        <v>44.4</v>
      </c>
      <c r="S112" s="72"/>
      <c r="T112" s="88"/>
    </row>
    <row r="113" spans="1:20" ht="16.5" customHeight="1">
      <c r="A113" s="71" t="s">
        <v>83</v>
      </c>
      <c r="B113" s="72"/>
      <c r="C113" s="72"/>
      <c r="D113" s="86"/>
      <c r="E113" s="88"/>
      <c r="F113" s="72" t="s">
        <v>124</v>
      </c>
      <c r="G113" s="92"/>
      <c r="H113" s="72"/>
      <c r="I113" s="72"/>
      <c r="J113" s="72"/>
      <c r="K113" s="72"/>
      <c r="L113" s="72"/>
      <c r="M113" s="72"/>
      <c r="N113" s="72"/>
      <c r="O113" s="72"/>
      <c r="P113" s="72"/>
      <c r="Q113" s="88"/>
      <c r="R113" s="92">
        <v>0</v>
      </c>
      <c r="S113" s="94"/>
      <c r="T113" s="95"/>
    </row>
    <row r="114" spans="1:20" ht="16.5" customHeight="1">
      <c r="A114" s="71" t="s">
        <v>78</v>
      </c>
      <c r="B114" s="72"/>
      <c r="C114" s="72"/>
      <c r="D114" s="86"/>
      <c r="E114" s="96"/>
      <c r="F114" s="72" t="s">
        <v>48</v>
      </c>
      <c r="G114" s="72">
        <f>G85</f>
        <v>4.5</v>
      </c>
      <c r="H114" s="72"/>
      <c r="I114" s="72" t="s">
        <v>75</v>
      </c>
      <c r="J114" s="72">
        <f>F108</f>
        <v>3.7</v>
      </c>
      <c r="K114" s="72"/>
      <c r="L114" s="72" t="s">
        <v>3</v>
      </c>
      <c r="M114" s="91" t="s">
        <v>28</v>
      </c>
      <c r="N114" s="72">
        <v>0.75</v>
      </c>
      <c r="O114" s="72"/>
      <c r="P114" s="72"/>
      <c r="Q114" s="77"/>
      <c r="R114" s="92">
        <f>ROUND((G114-J114)*N114,2)</f>
        <v>0.6</v>
      </c>
      <c r="S114" s="94"/>
      <c r="T114" s="95"/>
    </row>
    <row r="115" spans="1:20" ht="16.5" customHeight="1">
      <c r="A115" s="71" t="s">
        <v>81</v>
      </c>
      <c r="B115" s="72"/>
      <c r="C115" s="72"/>
      <c r="D115" s="86"/>
      <c r="E115" s="88"/>
      <c r="F115" s="116"/>
      <c r="G115" s="90">
        <f>R112</f>
        <v>44.4</v>
      </c>
      <c r="H115" s="72"/>
      <c r="I115" s="72" t="s">
        <v>44</v>
      </c>
      <c r="J115" s="92">
        <f>R113</f>
        <v>0</v>
      </c>
      <c r="K115" s="72"/>
      <c r="L115" s="72" t="s">
        <v>44</v>
      </c>
      <c r="M115" s="72"/>
      <c r="N115" s="92">
        <f>R114</f>
        <v>0.6</v>
      </c>
      <c r="O115" s="92"/>
      <c r="P115" s="117"/>
      <c r="Q115" s="77"/>
      <c r="R115" s="90">
        <f>ROUND(G115+J115+N115,2)</f>
        <v>45</v>
      </c>
      <c r="S115" s="94"/>
      <c r="T115" s="95"/>
    </row>
    <row r="116" ht="20.25" customHeight="1">
      <c r="B116" s="7" t="s">
        <v>125</v>
      </c>
    </row>
    <row r="117" spans="1:20" ht="16.5" customHeight="1">
      <c r="A117" s="85" t="s">
        <v>71</v>
      </c>
      <c r="B117" s="86"/>
      <c r="C117" s="86"/>
      <c r="D117" s="86"/>
      <c r="E117" s="87"/>
      <c r="F117" s="86" t="s">
        <v>72</v>
      </c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7"/>
      <c r="R117" s="86" t="s">
        <v>73</v>
      </c>
      <c r="S117" s="86"/>
      <c r="T117" s="87"/>
    </row>
    <row r="118" spans="1:20" ht="16.5" customHeight="1">
      <c r="A118" s="71" t="s">
        <v>129</v>
      </c>
      <c r="B118" s="72"/>
      <c r="C118" s="72"/>
      <c r="D118" s="86"/>
      <c r="E118" s="88"/>
      <c r="F118" s="89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88"/>
      <c r="R118" s="90">
        <f>R87</f>
        <v>179.63</v>
      </c>
      <c r="S118" s="72"/>
      <c r="T118" s="88"/>
    </row>
    <row r="119" spans="1:20" ht="16.5" customHeight="1">
      <c r="A119" s="71" t="s">
        <v>83</v>
      </c>
      <c r="B119" s="72"/>
      <c r="C119" s="72"/>
      <c r="D119" s="86"/>
      <c r="E119" s="88"/>
      <c r="F119" s="72" t="s">
        <v>48</v>
      </c>
      <c r="G119" s="94">
        <f>E105</f>
        <v>15</v>
      </c>
      <c r="H119" s="72" t="s">
        <v>75</v>
      </c>
      <c r="I119" s="90">
        <f>A108</f>
        <v>13.7</v>
      </c>
      <c r="J119" s="72" t="s">
        <v>3</v>
      </c>
      <c r="K119" s="91" t="s">
        <v>28</v>
      </c>
      <c r="L119" s="72">
        <v>-0.012</v>
      </c>
      <c r="M119" s="72"/>
      <c r="N119" s="91" t="s">
        <v>28</v>
      </c>
      <c r="O119" s="94">
        <f>R118</f>
        <v>179.63</v>
      </c>
      <c r="P119" s="72"/>
      <c r="Q119" s="100"/>
      <c r="R119" s="92">
        <f>ROUND((G119-I119)*L119*O119,2)</f>
        <v>-2.8</v>
      </c>
      <c r="S119" s="94"/>
      <c r="T119" s="95"/>
    </row>
    <row r="120" spans="1:20" ht="16.5" customHeight="1">
      <c r="A120" s="71" t="s">
        <v>78</v>
      </c>
      <c r="B120" s="72"/>
      <c r="C120" s="72"/>
      <c r="D120" s="86"/>
      <c r="E120" s="96"/>
      <c r="F120" s="72" t="s">
        <v>48</v>
      </c>
      <c r="G120" s="72">
        <f>G85</f>
        <v>4.5</v>
      </c>
      <c r="H120" s="72" t="s">
        <v>75</v>
      </c>
      <c r="I120" s="72">
        <f>F108</f>
        <v>3.7</v>
      </c>
      <c r="J120" s="72" t="s">
        <v>3</v>
      </c>
      <c r="K120" s="91" t="s">
        <v>28</v>
      </c>
      <c r="L120" s="72">
        <v>0.03</v>
      </c>
      <c r="M120" s="72"/>
      <c r="N120" s="91" t="s">
        <v>28</v>
      </c>
      <c r="O120" s="94">
        <f>R118</f>
        <v>179.63</v>
      </c>
      <c r="P120" s="72"/>
      <c r="Q120" s="77"/>
      <c r="R120" s="92">
        <f>ROUND((G120-I120)*L120*O120,2)</f>
        <v>4.31</v>
      </c>
      <c r="S120" s="94"/>
      <c r="T120" s="95"/>
    </row>
    <row r="121" spans="1:20" ht="16.5" customHeight="1">
      <c r="A121" s="71" t="s">
        <v>66</v>
      </c>
      <c r="B121" s="72"/>
      <c r="C121" s="72"/>
      <c r="D121" s="86"/>
      <c r="E121" s="96"/>
      <c r="F121" s="72" t="s">
        <v>48</v>
      </c>
      <c r="G121" s="90">
        <f>R115</f>
        <v>45</v>
      </c>
      <c r="H121" s="72"/>
      <c r="I121" s="72" t="s">
        <v>75</v>
      </c>
      <c r="J121" s="90">
        <f>G115</f>
        <v>44.4</v>
      </c>
      <c r="K121" s="72"/>
      <c r="L121" s="72" t="s">
        <v>3</v>
      </c>
      <c r="M121" s="72"/>
      <c r="N121" s="91" t="s">
        <v>28</v>
      </c>
      <c r="O121" s="72">
        <v>1.5</v>
      </c>
      <c r="P121" s="72"/>
      <c r="Q121" s="77"/>
      <c r="R121" s="92">
        <f>ROUND((G121-J121)*O121,2)</f>
        <v>0.9</v>
      </c>
      <c r="S121" s="94"/>
      <c r="T121" s="95"/>
    </row>
    <row r="122" spans="1:20" ht="16.5" customHeight="1">
      <c r="A122" s="71" t="s">
        <v>67</v>
      </c>
      <c r="B122" s="72"/>
      <c r="C122" s="72"/>
      <c r="D122" s="86"/>
      <c r="E122" s="88"/>
      <c r="F122" s="116"/>
      <c r="G122" s="90">
        <f>R118</f>
        <v>179.63</v>
      </c>
      <c r="H122" s="72"/>
      <c r="I122" s="72" t="s">
        <v>44</v>
      </c>
      <c r="J122" s="92">
        <f>R119</f>
        <v>-2.8</v>
      </c>
      <c r="K122" s="72"/>
      <c r="L122" s="72" t="s">
        <v>44</v>
      </c>
      <c r="M122" s="92">
        <f>R120</f>
        <v>4.31</v>
      </c>
      <c r="N122" s="72"/>
      <c r="O122" s="92" t="s">
        <v>44</v>
      </c>
      <c r="P122" s="92">
        <f>R121</f>
        <v>0.9</v>
      </c>
      <c r="Q122" s="118"/>
      <c r="R122" s="90">
        <f>ROUND(G122+J122+M122+P122,5)</f>
        <v>182.04</v>
      </c>
      <c r="S122" s="94"/>
      <c r="T122" s="95"/>
    </row>
    <row r="123" ht="23.25" customHeight="1">
      <c r="B123" s="84" t="s">
        <v>130</v>
      </c>
    </row>
    <row r="124" spans="1:18" ht="23.25" customHeight="1">
      <c r="A124" s="7" t="s">
        <v>85</v>
      </c>
      <c r="B124" s="7" t="s">
        <v>86</v>
      </c>
      <c r="F124" s="7" t="s">
        <v>34</v>
      </c>
      <c r="G124" s="7" t="s">
        <v>87</v>
      </c>
      <c r="L124" s="105">
        <f>C105</f>
        <v>46</v>
      </c>
      <c r="M124" s="84" t="s">
        <v>88</v>
      </c>
      <c r="O124" s="79">
        <f>R122</f>
        <v>182.04</v>
      </c>
      <c r="P124" s="83"/>
      <c r="Q124" s="7" t="s">
        <v>89</v>
      </c>
      <c r="R124" s="7" t="s">
        <v>90</v>
      </c>
    </row>
    <row r="125" spans="6:15" ht="23.25" customHeight="1">
      <c r="F125" s="7" t="s">
        <v>91</v>
      </c>
      <c r="G125" s="79">
        <f>O124</f>
        <v>182.04</v>
      </c>
      <c r="H125" s="78"/>
      <c r="I125" s="106" t="s">
        <v>76</v>
      </c>
      <c r="J125" s="107">
        <f>ROUND(L124/100,2)</f>
        <v>0.46</v>
      </c>
      <c r="K125" s="107"/>
      <c r="L125" s="7" t="s">
        <v>26</v>
      </c>
      <c r="M125" s="79">
        <f>ROUND(G125/J125,0)</f>
        <v>396</v>
      </c>
      <c r="N125" s="79"/>
      <c r="O125" s="7" t="s">
        <v>89</v>
      </c>
    </row>
    <row r="126" spans="1:15" ht="23.25" customHeight="1">
      <c r="A126" s="7" t="s">
        <v>85</v>
      </c>
      <c r="B126" s="7" t="s">
        <v>92</v>
      </c>
      <c r="F126" s="7" t="s">
        <v>91</v>
      </c>
      <c r="G126" s="79">
        <f>M125</f>
        <v>396</v>
      </c>
      <c r="H126" s="78"/>
      <c r="I126" s="106" t="s">
        <v>76</v>
      </c>
      <c r="J126" s="78">
        <f>J91</f>
        <v>3.05</v>
      </c>
      <c r="K126" s="78"/>
      <c r="L126" s="7" t="s">
        <v>26</v>
      </c>
      <c r="M126" s="79">
        <f>ROUND(G126/J126,0)</f>
        <v>130</v>
      </c>
      <c r="N126" s="79"/>
      <c r="O126" s="7" t="s">
        <v>93</v>
      </c>
    </row>
    <row r="127" spans="1:15" ht="23.25" customHeight="1">
      <c r="A127" s="7" t="s">
        <v>85</v>
      </c>
      <c r="B127" s="7" t="s">
        <v>94</v>
      </c>
      <c r="M127" s="78">
        <f>M92</f>
        <v>30</v>
      </c>
      <c r="N127" s="78"/>
      <c r="O127" s="7" t="s">
        <v>93</v>
      </c>
    </row>
    <row r="128" spans="1:20" ht="24.75" customHeight="1">
      <c r="A128" s="7" t="s">
        <v>85</v>
      </c>
      <c r="B128" s="7" t="s">
        <v>95</v>
      </c>
      <c r="F128" s="84" t="s">
        <v>96</v>
      </c>
      <c r="G128" s="7" t="s">
        <v>48</v>
      </c>
      <c r="H128" s="108">
        <f>M126/1000</f>
        <v>0.13</v>
      </c>
      <c r="I128" s="108"/>
      <c r="J128" s="108" t="s">
        <v>44</v>
      </c>
      <c r="K128" s="108">
        <f>O124/1000</f>
        <v>0.18203999999999998</v>
      </c>
      <c r="L128" s="108"/>
      <c r="M128" s="78" t="s">
        <v>44</v>
      </c>
      <c r="N128" s="78">
        <f>M127/1000</f>
        <v>0.03</v>
      </c>
      <c r="O128" s="78"/>
      <c r="P128" s="7" t="s">
        <v>3</v>
      </c>
      <c r="Q128" s="7" t="s">
        <v>26</v>
      </c>
      <c r="R128" s="108">
        <f>1-(H128+K128+N128)</f>
        <v>0.65796</v>
      </c>
      <c r="S128" s="107"/>
      <c r="T128" s="84" t="s">
        <v>97</v>
      </c>
    </row>
    <row r="129" spans="1:14" ht="22.5" customHeight="1">
      <c r="A129" s="7" t="s">
        <v>85</v>
      </c>
      <c r="B129" s="7" t="s">
        <v>98</v>
      </c>
      <c r="F129" s="108">
        <f>R128</f>
        <v>0.65796</v>
      </c>
      <c r="G129" s="78"/>
      <c r="H129" s="82" t="s">
        <v>28</v>
      </c>
      <c r="I129" s="108">
        <f>ROUND(R115/100,3)</f>
        <v>0.45</v>
      </c>
      <c r="J129" s="78"/>
      <c r="K129" s="78" t="s">
        <v>26</v>
      </c>
      <c r="L129" s="108">
        <f>ROUND(F129*I129,3)</f>
        <v>0.296</v>
      </c>
      <c r="M129" s="108"/>
      <c r="N129" s="84" t="s">
        <v>97</v>
      </c>
    </row>
    <row r="130" spans="1:14" ht="26.25" customHeight="1">
      <c r="A130" s="7" t="s">
        <v>85</v>
      </c>
      <c r="B130" s="7" t="s">
        <v>99</v>
      </c>
      <c r="F130" s="108">
        <f>R128</f>
        <v>0.65796</v>
      </c>
      <c r="G130" s="78"/>
      <c r="H130" s="78" t="s">
        <v>75</v>
      </c>
      <c r="I130" s="108">
        <f>L129</f>
        <v>0.296</v>
      </c>
      <c r="J130" s="78"/>
      <c r="K130" s="78" t="s">
        <v>26</v>
      </c>
      <c r="L130" s="108">
        <f>ROUND(F130-I130,3)</f>
        <v>0.362</v>
      </c>
      <c r="M130" s="78"/>
      <c r="N130" s="84" t="s">
        <v>97</v>
      </c>
    </row>
    <row r="131" spans="1:17" ht="27" customHeight="1">
      <c r="A131" s="7" t="s">
        <v>85</v>
      </c>
      <c r="B131" s="7" t="s">
        <v>100</v>
      </c>
      <c r="F131" s="108">
        <f>L129</f>
        <v>0.296</v>
      </c>
      <c r="G131" s="78"/>
      <c r="H131" s="82" t="s">
        <v>28</v>
      </c>
      <c r="I131" s="78">
        <f>I96</f>
        <v>2.58</v>
      </c>
      <c r="J131" s="78"/>
      <c r="K131" s="82" t="s">
        <v>28</v>
      </c>
      <c r="L131" s="78">
        <v>1000</v>
      </c>
      <c r="M131" s="78"/>
      <c r="N131" s="78" t="s">
        <v>26</v>
      </c>
      <c r="O131" s="79">
        <f>ROUND(F131*I131*L131,0)</f>
        <v>764</v>
      </c>
      <c r="P131" s="79"/>
      <c r="Q131" s="7" t="s">
        <v>89</v>
      </c>
    </row>
    <row r="132" spans="1:17" ht="23.25" customHeight="1">
      <c r="A132" s="7" t="s">
        <v>85</v>
      </c>
      <c r="B132" s="7" t="s">
        <v>101</v>
      </c>
      <c r="F132" s="108">
        <f>L130</f>
        <v>0.362</v>
      </c>
      <c r="G132" s="78"/>
      <c r="H132" s="82" t="s">
        <v>28</v>
      </c>
      <c r="I132" s="107">
        <f>I97</f>
        <v>2.7</v>
      </c>
      <c r="J132" s="78"/>
      <c r="K132" s="82" t="s">
        <v>28</v>
      </c>
      <c r="L132" s="78">
        <v>1000</v>
      </c>
      <c r="M132" s="78"/>
      <c r="N132" s="78" t="s">
        <v>26</v>
      </c>
      <c r="O132" s="79">
        <f>ROUND(F132*I132*L132,0)</f>
        <v>977</v>
      </c>
      <c r="P132" s="79"/>
      <c r="Q132" s="7" t="s">
        <v>89</v>
      </c>
    </row>
    <row r="133" spans="1:14" ht="23.25" customHeight="1">
      <c r="A133" s="7" t="s">
        <v>85</v>
      </c>
      <c r="B133" s="7" t="s">
        <v>102</v>
      </c>
      <c r="F133" s="79">
        <f>M125</f>
        <v>396</v>
      </c>
      <c r="G133" s="78"/>
      <c r="H133" s="82" t="s">
        <v>28</v>
      </c>
      <c r="I133" s="78">
        <f>I98</f>
        <v>0.003</v>
      </c>
      <c r="J133" s="78"/>
      <c r="K133" s="78" t="s">
        <v>26</v>
      </c>
      <c r="L133" s="107">
        <f>F133*I133</f>
        <v>1.188</v>
      </c>
      <c r="M133" s="107"/>
      <c r="N133" s="7" t="s">
        <v>89</v>
      </c>
    </row>
    <row r="134" ht="16.5" customHeight="1">
      <c r="A134" s="84" t="s">
        <v>131</v>
      </c>
    </row>
    <row r="135" ht="14.25" customHeight="1">
      <c r="A135" s="84" t="s">
        <v>105</v>
      </c>
    </row>
    <row r="136" spans="1:20" ht="13.5" customHeight="1">
      <c r="A136" s="31" t="s">
        <v>106</v>
      </c>
      <c r="B136" s="109"/>
      <c r="C136" s="32" t="s">
        <v>47</v>
      </c>
      <c r="D136" s="109"/>
      <c r="E136" s="32" t="s">
        <v>107</v>
      </c>
      <c r="F136" s="109"/>
      <c r="G136" s="32" t="s">
        <v>66</v>
      </c>
      <c r="H136" s="109"/>
      <c r="I136" s="86" t="s">
        <v>108</v>
      </c>
      <c r="J136" s="86"/>
      <c r="K136" s="86"/>
      <c r="L136" s="86"/>
      <c r="M136" s="86"/>
      <c r="N136" s="86"/>
      <c r="O136" s="86"/>
      <c r="P136" s="86"/>
      <c r="Q136" s="86"/>
      <c r="R136" s="87"/>
      <c r="S136" s="32" t="s">
        <v>69</v>
      </c>
      <c r="T136" s="109"/>
    </row>
    <row r="137" spans="1:20" ht="15" customHeight="1">
      <c r="A137" s="71"/>
      <c r="B137" s="88"/>
      <c r="C137" s="72" t="s">
        <v>109</v>
      </c>
      <c r="D137" s="88"/>
      <c r="E137" s="89"/>
      <c r="F137" s="88"/>
      <c r="G137" s="72" t="s">
        <v>110</v>
      </c>
      <c r="H137" s="88"/>
      <c r="I137" s="72" t="s">
        <v>111</v>
      </c>
      <c r="J137" s="88"/>
      <c r="K137" s="72" t="s">
        <v>67</v>
      </c>
      <c r="L137" s="88"/>
      <c r="M137" s="72" t="s">
        <v>112</v>
      </c>
      <c r="N137" s="88"/>
      <c r="O137" s="72" t="s">
        <v>113</v>
      </c>
      <c r="P137" s="88"/>
      <c r="Q137" s="72" t="s">
        <v>114</v>
      </c>
      <c r="R137" s="88"/>
      <c r="S137" s="89"/>
      <c r="T137" s="88"/>
    </row>
    <row r="138" spans="1:20" ht="16.5" customHeight="1">
      <c r="A138" s="71">
        <v>1</v>
      </c>
      <c r="B138" s="110" t="s">
        <v>97</v>
      </c>
      <c r="C138" s="111"/>
      <c r="D138" s="112"/>
      <c r="E138" s="51"/>
      <c r="F138" s="112"/>
      <c r="G138" s="51"/>
      <c r="H138" s="112"/>
      <c r="I138" s="94">
        <f>M125</f>
        <v>396</v>
      </c>
      <c r="J138" s="88"/>
      <c r="K138" s="94">
        <f>O124</f>
        <v>182.04</v>
      </c>
      <c r="L138" s="88"/>
      <c r="M138" s="94">
        <f>O131</f>
        <v>764</v>
      </c>
      <c r="N138" s="88"/>
      <c r="O138" s="94">
        <f>O132</f>
        <v>977</v>
      </c>
      <c r="P138" s="88"/>
      <c r="Q138" s="92">
        <f>L133</f>
        <v>1.188</v>
      </c>
      <c r="R138" s="88"/>
      <c r="S138" s="111"/>
      <c r="T138" s="112"/>
    </row>
    <row r="139" spans="1:20" ht="16.5" customHeight="1">
      <c r="A139" s="71" t="s">
        <v>115</v>
      </c>
      <c r="B139" s="88"/>
      <c r="C139" s="94">
        <f>L124</f>
        <v>46</v>
      </c>
      <c r="D139" s="88"/>
      <c r="E139" s="72">
        <f>E105</f>
        <v>15</v>
      </c>
      <c r="F139" s="88"/>
      <c r="G139" s="90">
        <f>R115</f>
        <v>45</v>
      </c>
      <c r="H139" s="88"/>
      <c r="I139" s="113">
        <f>I138*0.04</f>
        <v>15.84</v>
      </c>
      <c r="J139" s="114"/>
      <c r="K139" s="113">
        <f>K138*0.04</f>
        <v>7.2816</v>
      </c>
      <c r="L139" s="114"/>
      <c r="M139" s="113">
        <f>M138*0.04</f>
        <v>30.560000000000002</v>
      </c>
      <c r="N139" s="114"/>
      <c r="O139" s="113">
        <f>O138*0.04</f>
        <v>39.08</v>
      </c>
      <c r="P139" s="114"/>
      <c r="Q139" s="113">
        <f>Q138*0.04</f>
        <v>0.04752</v>
      </c>
      <c r="R139" s="114"/>
      <c r="S139" s="89"/>
      <c r="T139" s="88"/>
    </row>
    <row r="140" ht="18.75" customHeight="1">
      <c r="A140" s="84" t="s">
        <v>116</v>
      </c>
    </row>
    <row r="141" spans="1:20" ht="16.5" customHeight="1">
      <c r="A141" s="85" t="s">
        <v>117</v>
      </c>
      <c r="B141" s="86"/>
      <c r="C141" s="86"/>
      <c r="D141" s="86"/>
      <c r="E141" s="87"/>
      <c r="F141" s="86" t="s">
        <v>118</v>
      </c>
      <c r="G141" s="86"/>
      <c r="H141" s="86"/>
      <c r="I141" s="86"/>
      <c r="J141" s="87"/>
      <c r="K141" s="86" t="s">
        <v>119</v>
      </c>
      <c r="L141" s="86"/>
      <c r="M141" s="86"/>
      <c r="N141" s="86"/>
      <c r="O141" s="87"/>
      <c r="P141" s="86" t="s">
        <v>120</v>
      </c>
      <c r="Q141" s="86"/>
      <c r="R141" s="86"/>
      <c r="S141" s="86"/>
      <c r="T141" s="87"/>
    </row>
    <row r="142" spans="1:20" ht="16.5" customHeight="1">
      <c r="A142" s="71">
        <v>15</v>
      </c>
      <c r="B142" s="72"/>
      <c r="C142" s="72"/>
      <c r="D142" s="72"/>
      <c r="E142" s="88"/>
      <c r="F142" s="72">
        <v>4.5</v>
      </c>
      <c r="G142" s="72"/>
      <c r="H142" s="72"/>
      <c r="I142" s="72"/>
      <c r="J142" s="88"/>
      <c r="K142" s="72" t="s">
        <v>132</v>
      </c>
      <c r="L142" s="72"/>
      <c r="M142" s="72"/>
      <c r="N142" s="72"/>
      <c r="O142" s="88"/>
      <c r="P142" s="89"/>
      <c r="Q142" s="72"/>
      <c r="R142" s="72"/>
      <c r="S142" s="72"/>
      <c r="T142" s="88"/>
    </row>
    <row r="143" ht="3" customHeight="1"/>
    <row r="144" ht="17.25" customHeight="1">
      <c r="A144" s="7" t="s">
        <v>197</v>
      </c>
    </row>
    <row r="145" ht="14.25" customHeight="1">
      <c r="B145" s="7" t="s">
        <v>133</v>
      </c>
    </row>
    <row r="146" ht="16.5" customHeight="1">
      <c r="A146" s="7" t="s">
        <v>134</v>
      </c>
    </row>
    <row r="147" spans="1:16" ht="16.5" customHeight="1">
      <c r="A147" s="7" t="s">
        <v>85</v>
      </c>
      <c r="B147" s="78" t="s">
        <v>135</v>
      </c>
      <c r="C147" s="78"/>
      <c r="D147" s="78"/>
      <c r="E147" s="79">
        <f>C139-5</f>
        <v>41</v>
      </c>
      <c r="F147" s="119" t="s">
        <v>11</v>
      </c>
      <c r="G147" s="78"/>
      <c r="H147" s="78" t="s">
        <v>136</v>
      </c>
      <c r="I147" s="78"/>
      <c r="J147" s="83">
        <f>G139</f>
        <v>45</v>
      </c>
      <c r="K147" s="78" t="s">
        <v>11</v>
      </c>
      <c r="L147" s="78"/>
      <c r="M147" s="78" t="s">
        <v>137</v>
      </c>
      <c r="N147" s="79">
        <f>K138</f>
        <v>182.04</v>
      </c>
      <c r="O147" s="78"/>
      <c r="P147" s="7" t="s">
        <v>89</v>
      </c>
    </row>
    <row r="148" spans="6:15" ht="15.75" customHeight="1">
      <c r="F148" s="7" t="s">
        <v>91</v>
      </c>
      <c r="G148" s="79">
        <f>N147</f>
        <v>182.04</v>
      </c>
      <c r="H148" s="78"/>
      <c r="I148" s="106" t="s">
        <v>76</v>
      </c>
      <c r="J148" s="107">
        <f>ROUND(E147/100,2)</f>
        <v>0.41</v>
      </c>
      <c r="K148" s="107"/>
      <c r="L148" s="7" t="s">
        <v>26</v>
      </c>
      <c r="M148" s="79">
        <f>ROUND(G148/J148,0)</f>
        <v>444</v>
      </c>
      <c r="N148" s="79"/>
      <c r="O148" s="7" t="s">
        <v>89</v>
      </c>
    </row>
    <row r="149" spans="1:15" ht="15.75" customHeight="1">
      <c r="A149" s="7" t="s">
        <v>85</v>
      </c>
      <c r="B149" s="7" t="s">
        <v>92</v>
      </c>
      <c r="F149" s="7" t="s">
        <v>91</v>
      </c>
      <c r="G149" s="79">
        <f>M148</f>
        <v>444</v>
      </c>
      <c r="H149" s="78"/>
      <c r="I149" s="106" t="s">
        <v>76</v>
      </c>
      <c r="J149" s="78">
        <f>J126</f>
        <v>3.05</v>
      </c>
      <c r="K149" s="78"/>
      <c r="L149" s="7" t="s">
        <v>26</v>
      </c>
      <c r="M149" s="79">
        <f>ROUND(G149/J149,0)</f>
        <v>146</v>
      </c>
      <c r="N149" s="79"/>
      <c r="O149" s="7" t="s">
        <v>93</v>
      </c>
    </row>
    <row r="150" spans="1:15" ht="15.75" customHeight="1">
      <c r="A150" s="7" t="s">
        <v>85</v>
      </c>
      <c r="B150" s="7" t="s">
        <v>94</v>
      </c>
      <c r="M150" s="78">
        <f>M127</f>
        <v>30</v>
      </c>
      <c r="N150" s="78"/>
      <c r="O150" s="7" t="s">
        <v>93</v>
      </c>
    </row>
    <row r="151" spans="1:20" ht="15.75" customHeight="1">
      <c r="A151" s="7" t="s">
        <v>85</v>
      </c>
      <c r="B151" s="7" t="s">
        <v>95</v>
      </c>
      <c r="F151" s="84" t="s">
        <v>96</v>
      </c>
      <c r="G151" s="7" t="s">
        <v>48</v>
      </c>
      <c r="H151" s="108">
        <f>M149/1000</f>
        <v>0.146</v>
      </c>
      <c r="I151" s="108"/>
      <c r="J151" s="108" t="s">
        <v>44</v>
      </c>
      <c r="K151" s="108">
        <f>N147/1000</f>
        <v>0.18203999999999998</v>
      </c>
      <c r="L151" s="108"/>
      <c r="M151" s="78" t="s">
        <v>44</v>
      </c>
      <c r="N151" s="78">
        <f>M150/1000</f>
        <v>0.03</v>
      </c>
      <c r="O151" s="78"/>
      <c r="P151" s="7" t="s">
        <v>3</v>
      </c>
      <c r="Q151" s="7" t="s">
        <v>26</v>
      </c>
      <c r="R151" s="108">
        <f>1-(H151+K151+N151)</f>
        <v>0.64196</v>
      </c>
      <c r="S151" s="107"/>
      <c r="T151" s="84" t="s">
        <v>97</v>
      </c>
    </row>
    <row r="152" spans="1:14" ht="16.5" customHeight="1">
      <c r="A152" s="7" t="s">
        <v>85</v>
      </c>
      <c r="B152" s="7" t="s">
        <v>98</v>
      </c>
      <c r="F152" s="108">
        <f>R151</f>
        <v>0.64196</v>
      </c>
      <c r="G152" s="78"/>
      <c r="H152" s="82" t="s">
        <v>28</v>
      </c>
      <c r="I152" s="108">
        <f>ROUND(J147/100,3)</f>
        <v>0.45</v>
      </c>
      <c r="J152" s="78"/>
      <c r="K152" s="78" t="s">
        <v>26</v>
      </c>
      <c r="L152" s="108">
        <f>ROUND(F152*I152,3)</f>
        <v>0.289</v>
      </c>
      <c r="M152" s="108"/>
      <c r="N152" s="84" t="s">
        <v>97</v>
      </c>
    </row>
    <row r="153" spans="1:14" ht="16.5" customHeight="1">
      <c r="A153" s="7" t="s">
        <v>85</v>
      </c>
      <c r="B153" s="7" t="s">
        <v>99</v>
      </c>
      <c r="F153" s="108">
        <f>R151</f>
        <v>0.64196</v>
      </c>
      <c r="G153" s="78"/>
      <c r="H153" s="78" t="s">
        <v>75</v>
      </c>
      <c r="I153" s="108">
        <f>L152</f>
        <v>0.289</v>
      </c>
      <c r="J153" s="78"/>
      <c r="K153" s="78" t="s">
        <v>26</v>
      </c>
      <c r="L153" s="108">
        <f>ROUND(F153-I153,3)</f>
        <v>0.353</v>
      </c>
      <c r="M153" s="78"/>
      <c r="N153" s="84" t="s">
        <v>97</v>
      </c>
    </row>
    <row r="154" spans="1:17" ht="16.5" customHeight="1">
      <c r="A154" s="7" t="s">
        <v>85</v>
      </c>
      <c r="B154" s="7" t="s">
        <v>100</v>
      </c>
      <c r="F154" s="108">
        <f>L152</f>
        <v>0.289</v>
      </c>
      <c r="G154" s="78"/>
      <c r="H154" s="82" t="s">
        <v>28</v>
      </c>
      <c r="I154" s="78">
        <f>I131</f>
        <v>2.58</v>
      </c>
      <c r="J154" s="78"/>
      <c r="K154" s="82" t="s">
        <v>28</v>
      </c>
      <c r="L154" s="78">
        <v>1000</v>
      </c>
      <c r="M154" s="78"/>
      <c r="N154" s="78" t="s">
        <v>26</v>
      </c>
      <c r="O154" s="79">
        <f>ROUND(F154*I154*L154,0)</f>
        <v>746</v>
      </c>
      <c r="P154" s="79"/>
      <c r="Q154" s="7" t="s">
        <v>89</v>
      </c>
    </row>
    <row r="155" spans="1:17" ht="16.5" customHeight="1">
      <c r="A155" s="7" t="s">
        <v>85</v>
      </c>
      <c r="B155" s="7" t="s">
        <v>101</v>
      </c>
      <c r="F155" s="108">
        <f>L153</f>
        <v>0.353</v>
      </c>
      <c r="G155" s="78"/>
      <c r="H155" s="82" t="s">
        <v>28</v>
      </c>
      <c r="I155" s="107">
        <f>I132</f>
        <v>2.7</v>
      </c>
      <c r="J155" s="78"/>
      <c r="K155" s="82" t="s">
        <v>28</v>
      </c>
      <c r="L155" s="78">
        <v>1000</v>
      </c>
      <c r="M155" s="78"/>
      <c r="N155" s="78" t="s">
        <v>26</v>
      </c>
      <c r="O155" s="79">
        <f>ROUND(F155*I155*L155,0)</f>
        <v>953</v>
      </c>
      <c r="P155" s="79"/>
      <c r="Q155" s="7" t="s">
        <v>89</v>
      </c>
    </row>
    <row r="156" spans="1:14" ht="16.5" customHeight="1">
      <c r="A156" s="7" t="s">
        <v>85</v>
      </c>
      <c r="B156" s="7" t="s">
        <v>102</v>
      </c>
      <c r="F156" s="79">
        <f>M148</f>
        <v>444</v>
      </c>
      <c r="G156" s="78"/>
      <c r="H156" s="82" t="s">
        <v>28</v>
      </c>
      <c r="I156" s="78">
        <f>I133</f>
        <v>0.003</v>
      </c>
      <c r="J156" s="78"/>
      <c r="K156" s="78" t="s">
        <v>26</v>
      </c>
      <c r="L156" s="107">
        <f>F156*I156</f>
        <v>1.332</v>
      </c>
      <c r="M156" s="107"/>
      <c r="N156" s="7" t="s">
        <v>89</v>
      </c>
    </row>
    <row r="157" ht="16.5" customHeight="1">
      <c r="A157" s="7" t="s">
        <v>138</v>
      </c>
    </row>
    <row r="158" spans="1:16" ht="16.5" customHeight="1">
      <c r="A158" s="7" t="s">
        <v>85</v>
      </c>
      <c r="B158" s="78" t="s">
        <v>135</v>
      </c>
      <c r="C158" s="78"/>
      <c r="D158" s="78"/>
      <c r="E158" s="79">
        <f>C139</f>
        <v>46</v>
      </c>
      <c r="F158" s="119" t="s">
        <v>11</v>
      </c>
      <c r="G158" s="78"/>
      <c r="H158" s="78" t="s">
        <v>136</v>
      </c>
      <c r="I158" s="78"/>
      <c r="J158" s="83">
        <f>G139</f>
        <v>45</v>
      </c>
      <c r="K158" s="78" t="s">
        <v>11</v>
      </c>
      <c r="L158" s="78"/>
      <c r="M158" s="78" t="s">
        <v>137</v>
      </c>
      <c r="N158" s="79">
        <f>K138</f>
        <v>182.04</v>
      </c>
      <c r="O158" s="78"/>
      <c r="P158" s="7" t="s">
        <v>89</v>
      </c>
    </row>
    <row r="159" spans="6:15" ht="18" customHeight="1">
      <c r="F159" s="7" t="s">
        <v>91</v>
      </c>
      <c r="G159" s="79">
        <f>N158</f>
        <v>182.04</v>
      </c>
      <c r="H159" s="78"/>
      <c r="I159" s="106" t="s">
        <v>76</v>
      </c>
      <c r="J159" s="107">
        <f>ROUND(E158/100,2)</f>
        <v>0.46</v>
      </c>
      <c r="K159" s="107"/>
      <c r="L159" s="7" t="s">
        <v>26</v>
      </c>
      <c r="M159" s="79">
        <f>ROUND(G159/J159,0)</f>
        <v>396</v>
      </c>
      <c r="N159" s="79"/>
      <c r="O159" s="7" t="s">
        <v>89</v>
      </c>
    </row>
    <row r="160" spans="1:15" ht="18" customHeight="1">
      <c r="A160" s="7" t="s">
        <v>85</v>
      </c>
      <c r="B160" s="7" t="s">
        <v>92</v>
      </c>
      <c r="F160" s="7" t="s">
        <v>91</v>
      </c>
      <c r="G160" s="79">
        <f>M159</f>
        <v>396</v>
      </c>
      <c r="H160" s="78"/>
      <c r="I160" s="106" t="s">
        <v>76</v>
      </c>
      <c r="J160" s="78">
        <f>J149</f>
        <v>3.05</v>
      </c>
      <c r="K160" s="78"/>
      <c r="L160" s="7" t="s">
        <v>26</v>
      </c>
      <c r="M160" s="79">
        <f>ROUND(G160/J160,0)</f>
        <v>130</v>
      </c>
      <c r="N160" s="79"/>
      <c r="O160" s="7" t="s">
        <v>93</v>
      </c>
    </row>
    <row r="161" spans="1:15" ht="18" customHeight="1">
      <c r="A161" s="7" t="s">
        <v>85</v>
      </c>
      <c r="B161" s="7" t="s">
        <v>94</v>
      </c>
      <c r="M161" s="78">
        <f>M150</f>
        <v>30</v>
      </c>
      <c r="N161" s="78"/>
      <c r="O161" s="7" t="s">
        <v>93</v>
      </c>
    </row>
    <row r="162" spans="1:20" ht="18" customHeight="1">
      <c r="A162" s="7" t="s">
        <v>85</v>
      </c>
      <c r="B162" s="7" t="s">
        <v>95</v>
      </c>
      <c r="F162" s="84" t="s">
        <v>96</v>
      </c>
      <c r="G162" s="7" t="s">
        <v>48</v>
      </c>
      <c r="H162" s="108">
        <f>M160/1000</f>
        <v>0.13</v>
      </c>
      <c r="I162" s="108"/>
      <c r="J162" s="108" t="s">
        <v>44</v>
      </c>
      <c r="K162" s="108">
        <f>N158/1000</f>
        <v>0.18203999999999998</v>
      </c>
      <c r="L162" s="108"/>
      <c r="M162" s="78" t="s">
        <v>44</v>
      </c>
      <c r="N162" s="78">
        <f>M161/1000</f>
        <v>0.03</v>
      </c>
      <c r="O162" s="78"/>
      <c r="P162" s="7" t="s">
        <v>3</v>
      </c>
      <c r="Q162" s="7" t="s">
        <v>26</v>
      </c>
      <c r="R162" s="108">
        <f>1-(H162+K162+N162)</f>
        <v>0.65796</v>
      </c>
      <c r="S162" s="107"/>
      <c r="T162" s="84" t="s">
        <v>97</v>
      </c>
    </row>
    <row r="163" spans="1:14" ht="18" customHeight="1">
      <c r="A163" s="7" t="s">
        <v>85</v>
      </c>
      <c r="B163" s="7" t="s">
        <v>98</v>
      </c>
      <c r="F163" s="108">
        <f>R162</f>
        <v>0.65796</v>
      </c>
      <c r="G163" s="78"/>
      <c r="H163" s="82" t="s">
        <v>28</v>
      </c>
      <c r="I163" s="108">
        <f>ROUND(J158/100,3)</f>
        <v>0.45</v>
      </c>
      <c r="J163" s="78"/>
      <c r="K163" s="78" t="s">
        <v>26</v>
      </c>
      <c r="L163" s="108">
        <f>ROUND(F163*I163,3)</f>
        <v>0.296</v>
      </c>
      <c r="M163" s="108"/>
      <c r="N163" s="84" t="s">
        <v>97</v>
      </c>
    </row>
    <row r="164" spans="1:14" ht="18" customHeight="1">
      <c r="A164" s="7" t="s">
        <v>85</v>
      </c>
      <c r="B164" s="7" t="s">
        <v>99</v>
      </c>
      <c r="F164" s="108">
        <f>R162</f>
        <v>0.65796</v>
      </c>
      <c r="G164" s="78"/>
      <c r="H164" s="78" t="s">
        <v>75</v>
      </c>
      <c r="I164" s="108">
        <f>L163</f>
        <v>0.296</v>
      </c>
      <c r="J164" s="78"/>
      <c r="K164" s="78" t="s">
        <v>26</v>
      </c>
      <c r="L164" s="108">
        <f>ROUND(F164-I164,3)</f>
        <v>0.362</v>
      </c>
      <c r="M164" s="78"/>
      <c r="N164" s="84" t="s">
        <v>97</v>
      </c>
    </row>
    <row r="165" spans="1:17" ht="18" customHeight="1">
      <c r="A165" s="7" t="s">
        <v>85</v>
      </c>
      <c r="B165" s="7" t="s">
        <v>100</v>
      </c>
      <c r="F165" s="108">
        <f>L163</f>
        <v>0.296</v>
      </c>
      <c r="G165" s="78"/>
      <c r="H165" s="82" t="s">
        <v>28</v>
      </c>
      <c r="I165" s="78">
        <f>I154</f>
        <v>2.58</v>
      </c>
      <c r="J165" s="78"/>
      <c r="K165" s="82" t="s">
        <v>28</v>
      </c>
      <c r="L165" s="78">
        <v>1000</v>
      </c>
      <c r="M165" s="78"/>
      <c r="N165" s="78" t="s">
        <v>26</v>
      </c>
      <c r="O165" s="79">
        <f>ROUND(F165*I165*L165,0)</f>
        <v>764</v>
      </c>
      <c r="P165" s="79"/>
      <c r="Q165" s="7" t="s">
        <v>89</v>
      </c>
    </row>
    <row r="166" spans="1:17" ht="18" customHeight="1">
      <c r="A166" s="7" t="s">
        <v>85</v>
      </c>
      <c r="B166" s="7" t="s">
        <v>101</v>
      </c>
      <c r="F166" s="108">
        <f>L164</f>
        <v>0.362</v>
      </c>
      <c r="G166" s="78"/>
      <c r="H166" s="82" t="s">
        <v>28</v>
      </c>
      <c r="I166" s="107">
        <f>I155</f>
        <v>2.7</v>
      </c>
      <c r="J166" s="78"/>
      <c r="K166" s="82" t="s">
        <v>28</v>
      </c>
      <c r="L166" s="78">
        <v>1000</v>
      </c>
      <c r="M166" s="78"/>
      <c r="N166" s="78" t="s">
        <v>26</v>
      </c>
      <c r="O166" s="79">
        <f>ROUND(F166*I166*L166,0)</f>
        <v>977</v>
      </c>
      <c r="P166" s="79"/>
      <c r="Q166" s="7" t="s">
        <v>89</v>
      </c>
    </row>
    <row r="167" spans="1:14" ht="18" customHeight="1">
      <c r="A167" s="7" t="s">
        <v>85</v>
      </c>
      <c r="B167" s="7" t="s">
        <v>102</v>
      </c>
      <c r="F167" s="79">
        <f>M159</f>
        <v>396</v>
      </c>
      <c r="G167" s="78"/>
      <c r="H167" s="82" t="s">
        <v>28</v>
      </c>
      <c r="I167" s="78">
        <f>I156</f>
        <v>0.003</v>
      </c>
      <c r="J167" s="78"/>
      <c r="K167" s="78" t="s">
        <v>26</v>
      </c>
      <c r="L167" s="107">
        <f>F167*I167</f>
        <v>1.188</v>
      </c>
      <c r="M167" s="107"/>
      <c r="N167" s="7" t="s">
        <v>89</v>
      </c>
    </row>
    <row r="168" ht="21" customHeight="1">
      <c r="A168" s="84" t="s">
        <v>139</v>
      </c>
    </row>
    <row r="169" spans="1:16" ht="20.25" customHeight="1">
      <c r="A169" s="7" t="s">
        <v>85</v>
      </c>
      <c r="B169" s="78" t="s">
        <v>135</v>
      </c>
      <c r="C169" s="78"/>
      <c r="D169" s="78"/>
      <c r="E169" s="79">
        <f>C139+5</f>
        <v>51</v>
      </c>
      <c r="F169" s="119" t="s">
        <v>11</v>
      </c>
      <c r="G169" s="78"/>
      <c r="H169" s="78" t="s">
        <v>136</v>
      </c>
      <c r="I169" s="78"/>
      <c r="J169" s="83">
        <f>J158</f>
        <v>45</v>
      </c>
      <c r="K169" s="78" t="s">
        <v>11</v>
      </c>
      <c r="L169" s="78"/>
      <c r="M169" s="78" t="s">
        <v>137</v>
      </c>
      <c r="N169" s="79">
        <f>N158</f>
        <v>182.04</v>
      </c>
      <c r="O169" s="78"/>
      <c r="P169" s="7" t="s">
        <v>89</v>
      </c>
    </row>
    <row r="170" spans="6:15" ht="16.5" customHeight="1">
      <c r="F170" s="7" t="s">
        <v>91</v>
      </c>
      <c r="G170" s="79">
        <f>N169</f>
        <v>182.04</v>
      </c>
      <c r="H170" s="78"/>
      <c r="I170" s="106" t="s">
        <v>76</v>
      </c>
      <c r="J170" s="107">
        <f>ROUND(E169/100,2)</f>
        <v>0.51</v>
      </c>
      <c r="K170" s="107"/>
      <c r="L170" s="7" t="s">
        <v>26</v>
      </c>
      <c r="M170" s="79">
        <f>ROUND(G170/J170,0)</f>
        <v>357</v>
      </c>
      <c r="N170" s="79"/>
      <c r="O170" s="7" t="s">
        <v>89</v>
      </c>
    </row>
    <row r="171" spans="1:15" ht="16.5" customHeight="1">
      <c r="A171" s="7" t="s">
        <v>85</v>
      </c>
      <c r="B171" s="7" t="s">
        <v>92</v>
      </c>
      <c r="F171" s="7" t="s">
        <v>91</v>
      </c>
      <c r="G171" s="79">
        <f>M170</f>
        <v>357</v>
      </c>
      <c r="H171" s="78"/>
      <c r="I171" s="106" t="s">
        <v>76</v>
      </c>
      <c r="J171" s="78">
        <f>J160</f>
        <v>3.05</v>
      </c>
      <c r="K171" s="78"/>
      <c r="L171" s="7" t="s">
        <v>26</v>
      </c>
      <c r="M171" s="79">
        <f>ROUND(G171/J171,0)</f>
        <v>117</v>
      </c>
      <c r="N171" s="79"/>
      <c r="O171" s="7" t="s">
        <v>93</v>
      </c>
    </row>
    <row r="172" spans="1:15" ht="17.25" customHeight="1">
      <c r="A172" s="7" t="s">
        <v>85</v>
      </c>
      <c r="B172" s="7" t="s">
        <v>94</v>
      </c>
      <c r="M172" s="78">
        <f>M161</f>
        <v>30</v>
      </c>
      <c r="N172" s="78"/>
      <c r="O172" s="7" t="s">
        <v>93</v>
      </c>
    </row>
    <row r="173" spans="1:20" ht="17.25" customHeight="1">
      <c r="A173" s="7" t="s">
        <v>85</v>
      </c>
      <c r="B173" s="7" t="s">
        <v>95</v>
      </c>
      <c r="F173" s="84" t="s">
        <v>96</v>
      </c>
      <c r="G173" s="7" t="s">
        <v>48</v>
      </c>
      <c r="H173" s="108">
        <f>M171/1000</f>
        <v>0.117</v>
      </c>
      <c r="I173" s="108"/>
      <c r="J173" s="108" t="s">
        <v>44</v>
      </c>
      <c r="K173" s="108">
        <f>N169/1000</f>
        <v>0.18203999999999998</v>
      </c>
      <c r="L173" s="108"/>
      <c r="M173" s="78" t="s">
        <v>44</v>
      </c>
      <c r="N173" s="78">
        <f>M172/1000</f>
        <v>0.03</v>
      </c>
      <c r="O173" s="78"/>
      <c r="P173" s="7" t="s">
        <v>3</v>
      </c>
      <c r="Q173" s="7" t="s">
        <v>26</v>
      </c>
      <c r="R173" s="108">
        <f>1-(H173+K173+N173)</f>
        <v>0.67096</v>
      </c>
      <c r="S173" s="107"/>
      <c r="T173" s="84" t="s">
        <v>97</v>
      </c>
    </row>
    <row r="174" spans="1:14" ht="17.25" customHeight="1">
      <c r="A174" s="7" t="s">
        <v>85</v>
      </c>
      <c r="B174" s="7" t="s">
        <v>98</v>
      </c>
      <c r="F174" s="108">
        <f>R173</f>
        <v>0.67096</v>
      </c>
      <c r="G174" s="78"/>
      <c r="H174" s="82" t="s">
        <v>28</v>
      </c>
      <c r="I174" s="108">
        <f>ROUND(J169/100,3)</f>
        <v>0.45</v>
      </c>
      <c r="J174" s="78"/>
      <c r="K174" s="78" t="s">
        <v>26</v>
      </c>
      <c r="L174" s="108">
        <f>ROUND(F174*I174,3)</f>
        <v>0.302</v>
      </c>
      <c r="M174" s="108"/>
      <c r="N174" s="84" t="s">
        <v>97</v>
      </c>
    </row>
    <row r="175" spans="1:14" ht="17.25" customHeight="1">
      <c r="A175" s="7" t="s">
        <v>85</v>
      </c>
      <c r="B175" s="7" t="s">
        <v>99</v>
      </c>
      <c r="F175" s="108">
        <f>R173</f>
        <v>0.67096</v>
      </c>
      <c r="G175" s="78"/>
      <c r="H175" s="78" t="s">
        <v>75</v>
      </c>
      <c r="I175" s="108">
        <f>L174</f>
        <v>0.302</v>
      </c>
      <c r="J175" s="78"/>
      <c r="K175" s="78" t="s">
        <v>26</v>
      </c>
      <c r="L175" s="108">
        <f>ROUND(F175-I175,3)</f>
        <v>0.369</v>
      </c>
      <c r="M175" s="78"/>
      <c r="N175" s="84" t="s">
        <v>97</v>
      </c>
    </row>
    <row r="176" spans="1:17" ht="17.25" customHeight="1">
      <c r="A176" s="7" t="s">
        <v>85</v>
      </c>
      <c r="B176" s="7" t="s">
        <v>100</v>
      </c>
      <c r="F176" s="108">
        <f>L174</f>
        <v>0.302</v>
      </c>
      <c r="G176" s="78"/>
      <c r="H176" s="82" t="s">
        <v>28</v>
      </c>
      <c r="I176" s="78">
        <f>I165</f>
        <v>2.58</v>
      </c>
      <c r="J176" s="78"/>
      <c r="K176" s="82" t="s">
        <v>28</v>
      </c>
      <c r="L176" s="78">
        <v>1000</v>
      </c>
      <c r="M176" s="78"/>
      <c r="N176" s="78" t="s">
        <v>26</v>
      </c>
      <c r="O176" s="79">
        <f>ROUND(F176*I176*L176,0)</f>
        <v>779</v>
      </c>
      <c r="P176" s="79"/>
      <c r="Q176" s="7" t="s">
        <v>89</v>
      </c>
    </row>
    <row r="177" spans="1:17" ht="17.25" customHeight="1">
      <c r="A177" s="7" t="s">
        <v>85</v>
      </c>
      <c r="B177" s="7" t="s">
        <v>101</v>
      </c>
      <c r="F177" s="108">
        <f>L175</f>
        <v>0.369</v>
      </c>
      <c r="G177" s="51"/>
      <c r="H177" s="82" t="s">
        <v>28</v>
      </c>
      <c r="I177" s="107">
        <f>I166</f>
        <v>2.7</v>
      </c>
      <c r="J177" s="78"/>
      <c r="K177" s="82" t="s">
        <v>28</v>
      </c>
      <c r="L177" s="78">
        <v>1000</v>
      </c>
      <c r="M177" s="78"/>
      <c r="N177" s="78" t="s">
        <v>26</v>
      </c>
      <c r="O177" s="79">
        <f>ROUND(F177*I177*L177,0)</f>
        <v>996</v>
      </c>
      <c r="P177" s="79"/>
      <c r="Q177" s="7" t="s">
        <v>89</v>
      </c>
    </row>
    <row r="178" spans="1:14" ht="21" customHeight="1">
      <c r="A178" s="7" t="s">
        <v>85</v>
      </c>
      <c r="B178" s="7" t="s">
        <v>102</v>
      </c>
      <c r="F178" s="79">
        <f>M170</f>
        <v>357</v>
      </c>
      <c r="G178" s="78"/>
      <c r="H178" s="82" t="s">
        <v>28</v>
      </c>
      <c r="I178" s="78">
        <f>I167</f>
        <v>0.003</v>
      </c>
      <c r="J178" s="78"/>
      <c r="K178" s="78" t="s">
        <v>26</v>
      </c>
      <c r="L178" s="107">
        <f>F178*I178</f>
        <v>1.071</v>
      </c>
      <c r="M178" s="107"/>
      <c r="N178" s="7" t="s">
        <v>89</v>
      </c>
    </row>
    <row r="179" ht="21.75" customHeight="1">
      <c r="A179" s="7" t="s">
        <v>140</v>
      </c>
    </row>
    <row r="180" spans="1:20" ht="21" customHeight="1">
      <c r="A180" s="31" t="s">
        <v>106</v>
      </c>
      <c r="B180" s="109"/>
      <c r="C180" s="32" t="s">
        <v>47</v>
      </c>
      <c r="D180" s="109"/>
      <c r="E180" s="32" t="s">
        <v>81</v>
      </c>
      <c r="F180" s="109"/>
      <c r="G180" s="86" t="s">
        <v>108</v>
      </c>
      <c r="H180" s="86"/>
      <c r="I180" s="86"/>
      <c r="J180" s="86"/>
      <c r="K180" s="86"/>
      <c r="L180" s="86"/>
      <c r="M180" s="86"/>
      <c r="N180" s="86"/>
      <c r="O180" s="86"/>
      <c r="P180" s="87"/>
      <c r="Q180" s="120" t="s">
        <v>141</v>
      </c>
      <c r="R180" s="120"/>
      <c r="S180" s="120"/>
      <c r="T180" s="121"/>
    </row>
    <row r="181" spans="1:20" ht="24.75" customHeight="1">
      <c r="A181" s="71"/>
      <c r="B181" s="88"/>
      <c r="C181" s="72" t="s">
        <v>109</v>
      </c>
      <c r="D181" s="88"/>
      <c r="E181" s="72" t="s">
        <v>109</v>
      </c>
      <c r="F181" s="88"/>
      <c r="G181" s="72" t="s">
        <v>111</v>
      </c>
      <c r="H181" s="88"/>
      <c r="I181" s="72" t="s">
        <v>67</v>
      </c>
      <c r="J181" s="88"/>
      <c r="K181" s="72" t="s">
        <v>112</v>
      </c>
      <c r="L181" s="88"/>
      <c r="M181" s="72" t="s">
        <v>113</v>
      </c>
      <c r="N181" s="88"/>
      <c r="O181" s="72" t="s">
        <v>114</v>
      </c>
      <c r="P181" s="88"/>
      <c r="Q181" s="77" t="s">
        <v>142</v>
      </c>
      <c r="R181" s="77" t="s">
        <v>143</v>
      </c>
      <c r="S181" s="76" t="s">
        <v>144</v>
      </c>
      <c r="T181" s="77"/>
    </row>
    <row r="182" spans="1:20" ht="24.75" customHeight="1">
      <c r="A182" s="66" t="s">
        <v>145</v>
      </c>
      <c r="B182" s="112"/>
      <c r="C182" s="111"/>
      <c r="D182" s="112"/>
      <c r="E182" s="51"/>
      <c r="F182" s="112"/>
      <c r="G182" s="94">
        <f>M148</f>
        <v>444</v>
      </c>
      <c r="H182" s="88"/>
      <c r="I182" s="94">
        <f>N147</f>
        <v>182.04</v>
      </c>
      <c r="J182" s="88"/>
      <c r="K182" s="94">
        <f>O154</f>
        <v>746</v>
      </c>
      <c r="L182" s="88"/>
      <c r="M182" s="94">
        <f>O155</f>
        <v>953</v>
      </c>
      <c r="N182" s="88"/>
      <c r="O182" s="92">
        <f>L167</f>
        <v>1.188</v>
      </c>
      <c r="P182" s="88"/>
      <c r="Q182" s="70"/>
      <c r="R182" s="70"/>
      <c r="S182" s="65"/>
      <c r="T182" s="70"/>
    </row>
    <row r="183" spans="1:22" ht="24.75" customHeight="1">
      <c r="A183" s="71"/>
      <c r="B183" s="88"/>
      <c r="C183" s="94">
        <f>E147</f>
        <v>41</v>
      </c>
      <c r="D183" s="88"/>
      <c r="E183" s="90">
        <f>J169</f>
        <v>45</v>
      </c>
      <c r="F183" s="88"/>
      <c r="G183" s="113">
        <f>G182*0.04</f>
        <v>17.76</v>
      </c>
      <c r="H183" s="114"/>
      <c r="I183" s="113">
        <f>I182*0.04</f>
        <v>7.2816</v>
      </c>
      <c r="J183" s="114"/>
      <c r="K183" s="113">
        <f>K182*0.04</f>
        <v>29.84</v>
      </c>
      <c r="L183" s="114"/>
      <c r="M183" s="113">
        <f>M182*0.04</f>
        <v>38.12</v>
      </c>
      <c r="N183" s="114"/>
      <c r="O183" s="113">
        <f>O182*0.04</f>
        <v>0.04752</v>
      </c>
      <c r="P183" s="114"/>
      <c r="Q183" s="122">
        <v>15.5</v>
      </c>
      <c r="R183" s="122">
        <v>4.2</v>
      </c>
      <c r="S183" s="72">
        <v>300</v>
      </c>
      <c r="T183" s="88"/>
      <c r="V183" s="105">
        <f>I244</f>
        <v>375</v>
      </c>
    </row>
    <row r="184" spans="1:22" ht="24.75" customHeight="1">
      <c r="A184" s="66" t="s">
        <v>146</v>
      </c>
      <c r="B184" s="112"/>
      <c r="C184" s="111"/>
      <c r="D184" s="112"/>
      <c r="E184" s="51"/>
      <c r="F184" s="112"/>
      <c r="G184" s="94">
        <f>M159</f>
        <v>396</v>
      </c>
      <c r="H184" s="88"/>
      <c r="I184" s="94">
        <f>N158</f>
        <v>182.04</v>
      </c>
      <c r="J184" s="88"/>
      <c r="K184" s="94">
        <f>O165</f>
        <v>764</v>
      </c>
      <c r="L184" s="88"/>
      <c r="M184" s="94">
        <f>O166</f>
        <v>977</v>
      </c>
      <c r="N184" s="88"/>
      <c r="O184" s="92">
        <f>L167</f>
        <v>1.188</v>
      </c>
      <c r="P184" s="88"/>
      <c r="Q184" s="123"/>
      <c r="R184" s="123"/>
      <c r="S184" s="65"/>
      <c r="T184" s="70"/>
      <c r="V184" s="137">
        <f>1/I210</f>
        <v>0.48309178743961356</v>
      </c>
    </row>
    <row r="185" spans="1:20" ht="24.75" customHeight="1">
      <c r="A185" s="71"/>
      <c r="B185" s="88"/>
      <c r="C185" s="94">
        <f>E158</f>
        <v>46</v>
      </c>
      <c r="D185" s="88"/>
      <c r="E185" s="90">
        <f>J169</f>
        <v>45</v>
      </c>
      <c r="F185" s="88"/>
      <c r="G185" s="113">
        <f>G184*0.04</f>
        <v>15.84</v>
      </c>
      <c r="H185" s="114"/>
      <c r="I185" s="113">
        <f>I184*0.04</f>
        <v>7.2816</v>
      </c>
      <c r="J185" s="114"/>
      <c r="K185" s="113">
        <f>K184*0.04</f>
        <v>30.560000000000002</v>
      </c>
      <c r="L185" s="114"/>
      <c r="M185" s="113">
        <f>M184*0.04</f>
        <v>39.08</v>
      </c>
      <c r="N185" s="114"/>
      <c r="O185" s="113">
        <f>O184*0.04</f>
        <v>0.04752</v>
      </c>
      <c r="P185" s="114"/>
      <c r="Q185" s="122">
        <v>15</v>
      </c>
      <c r="R185" s="122">
        <v>4.5</v>
      </c>
      <c r="S185" s="72">
        <v>284</v>
      </c>
      <c r="T185" s="88"/>
    </row>
    <row r="186" spans="1:20" ht="24.75" customHeight="1">
      <c r="A186" s="66" t="s">
        <v>147</v>
      </c>
      <c r="B186" s="112"/>
      <c r="C186" s="111"/>
      <c r="D186" s="112"/>
      <c r="E186" s="51"/>
      <c r="F186" s="112"/>
      <c r="G186" s="94">
        <f>M170</f>
        <v>357</v>
      </c>
      <c r="H186" s="88"/>
      <c r="I186" s="94">
        <f>N169</f>
        <v>182.04</v>
      </c>
      <c r="J186" s="88"/>
      <c r="K186" s="94">
        <f>O176</f>
        <v>779</v>
      </c>
      <c r="L186" s="88"/>
      <c r="M186" s="94">
        <f>O177</f>
        <v>996</v>
      </c>
      <c r="N186" s="88"/>
      <c r="O186" s="92">
        <f>L178</f>
        <v>1.071</v>
      </c>
      <c r="P186" s="88"/>
      <c r="Q186" s="123"/>
      <c r="R186" s="123"/>
      <c r="S186" s="65"/>
      <c r="T186" s="70"/>
    </row>
    <row r="187" spans="1:20" ht="24.75" customHeight="1">
      <c r="A187" s="71"/>
      <c r="B187" s="88"/>
      <c r="C187" s="94">
        <f>E169</f>
        <v>51</v>
      </c>
      <c r="D187" s="88"/>
      <c r="E187" s="90">
        <f>E185</f>
        <v>45</v>
      </c>
      <c r="F187" s="88"/>
      <c r="G187" s="113">
        <f>G186*0.04</f>
        <v>14.280000000000001</v>
      </c>
      <c r="H187" s="114"/>
      <c r="I187" s="113">
        <f>I186*0.04</f>
        <v>7.2816</v>
      </c>
      <c r="J187" s="114"/>
      <c r="K187" s="113">
        <f>K186*0.04</f>
        <v>31.16</v>
      </c>
      <c r="L187" s="114"/>
      <c r="M187" s="113">
        <f>M186*0.04</f>
        <v>39.84</v>
      </c>
      <c r="N187" s="114"/>
      <c r="O187" s="113">
        <f>O186*0.04</f>
        <v>0.042839999999999996</v>
      </c>
      <c r="P187" s="114"/>
      <c r="Q187" s="125">
        <v>14.5</v>
      </c>
      <c r="R187" s="122">
        <v>4.4</v>
      </c>
      <c r="S187" s="72">
        <v>272</v>
      </c>
      <c r="T187" s="88"/>
    </row>
    <row r="188" ht="8.25" customHeight="1"/>
    <row r="189" ht="21.75" customHeight="1">
      <c r="A189" s="7" t="s">
        <v>148</v>
      </c>
    </row>
    <row r="190" spans="1:3" ht="21.75" customHeight="1">
      <c r="A190" s="7" t="s">
        <v>149</v>
      </c>
      <c r="B190" s="7" t="s">
        <v>75</v>
      </c>
      <c r="C190" s="7" t="s">
        <v>150</v>
      </c>
    </row>
    <row r="191" spans="3:9" ht="21.75" customHeight="1">
      <c r="C191" s="7" t="s">
        <v>151</v>
      </c>
      <c r="D191" s="7" t="s">
        <v>26</v>
      </c>
      <c r="E191" s="7" t="s">
        <v>152</v>
      </c>
      <c r="F191" s="7" t="s">
        <v>44</v>
      </c>
      <c r="G191" s="7" t="s">
        <v>153</v>
      </c>
      <c r="I191" s="84" t="s">
        <v>154</v>
      </c>
    </row>
    <row r="192" spans="2:3" ht="18" customHeight="1">
      <c r="B192" s="7" t="s">
        <v>75</v>
      </c>
      <c r="C192" s="7" t="s">
        <v>155</v>
      </c>
    </row>
    <row r="193" spans="1:20" ht="17.25" customHeight="1">
      <c r="A193" s="85" t="s">
        <v>156</v>
      </c>
      <c r="B193" s="87"/>
      <c r="C193" s="86" t="s">
        <v>157</v>
      </c>
      <c r="D193" s="86"/>
      <c r="E193" s="86"/>
      <c r="F193" s="87"/>
      <c r="G193" s="86" t="s">
        <v>151</v>
      </c>
      <c r="H193" s="86"/>
      <c r="I193" s="86"/>
      <c r="J193" s="86"/>
      <c r="K193" s="87"/>
      <c r="L193" s="86" t="s">
        <v>158</v>
      </c>
      <c r="M193" s="86"/>
      <c r="N193" s="86"/>
      <c r="O193" s="86"/>
      <c r="P193" s="87"/>
      <c r="Q193" s="86" t="s">
        <v>159</v>
      </c>
      <c r="R193" s="86"/>
      <c r="S193" s="86"/>
      <c r="T193" s="87"/>
    </row>
    <row r="194" spans="1:20" ht="17.25" customHeight="1">
      <c r="A194" s="71">
        <v>1</v>
      </c>
      <c r="B194" s="88"/>
      <c r="C194" s="113">
        <f>ROUND(1/C183*100,3)</f>
        <v>2.439</v>
      </c>
      <c r="D194" s="72"/>
      <c r="E194" s="72"/>
      <c r="F194" s="88"/>
      <c r="G194" s="72">
        <f>S183</f>
        <v>300</v>
      </c>
      <c r="H194" s="72"/>
      <c r="I194" s="72"/>
      <c r="J194" s="72"/>
      <c r="K194" s="88"/>
      <c r="L194" s="113">
        <f>ROUND(C194*C194,3)</f>
        <v>5.949</v>
      </c>
      <c r="M194" s="72"/>
      <c r="N194" s="72"/>
      <c r="O194" s="72"/>
      <c r="P194" s="88"/>
      <c r="Q194" s="113">
        <f>ROUND(C194*G194,3)</f>
        <v>731.7</v>
      </c>
      <c r="R194" s="72"/>
      <c r="S194" s="72"/>
      <c r="T194" s="88"/>
    </row>
    <row r="195" spans="1:20" ht="17.25" customHeight="1">
      <c r="A195" s="71">
        <v>2</v>
      </c>
      <c r="B195" s="88"/>
      <c r="C195" s="113">
        <f>ROUND(1/C185*100,3)</f>
        <v>2.174</v>
      </c>
      <c r="D195" s="72"/>
      <c r="E195" s="72"/>
      <c r="F195" s="88"/>
      <c r="G195" s="72">
        <f>S185</f>
        <v>284</v>
      </c>
      <c r="H195" s="72"/>
      <c r="I195" s="72"/>
      <c r="J195" s="72"/>
      <c r="K195" s="88"/>
      <c r="L195" s="113">
        <f>ROUND(C195*C195,3)</f>
        <v>4.726</v>
      </c>
      <c r="M195" s="72"/>
      <c r="N195" s="72"/>
      <c r="O195" s="72"/>
      <c r="P195" s="88"/>
      <c r="Q195" s="113">
        <f>ROUND(C195*G195,3)</f>
        <v>617.416</v>
      </c>
      <c r="R195" s="72"/>
      <c r="S195" s="72"/>
      <c r="T195" s="88"/>
    </row>
    <row r="196" spans="1:20" ht="17.25" customHeight="1">
      <c r="A196" s="71">
        <v>3</v>
      </c>
      <c r="B196" s="88"/>
      <c r="C196" s="113">
        <f>ROUND(1/C187*100,3)</f>
        <v>1.961</v>
      </c>
      <c r="D196" s="72"/>
      <c r="E196" s="72"/>
      <c r="F196" s="88"/>
      <c r="G196" s="72">
        <f>S187</f>
        <v>272</v>
      </c>
      <c r="H196" s="72"/>
      <c r="I196" s="72"/>
      <c r="J196" s="72"/>
      <c r="K196" s="88"/>
      <c r="L196" s="113">
        <f>ROUND(C196*C196,3)</f>
        <v>3.846</v>
      </c>
      <c r="M196" s="72"/>
      <c r="N196" s="72"/>
      <c r="O196" s="72"/>
      <c r="P196" s="88"/>
      <c r="Q196" s="113">
        <f>ROUND(C196*G196,3)</f>
        <v>533.392</v>
      </c>
      <c r="R196" s="72"/>
      <c r="S196" s="72"/>
      <c r="T196" s="88"/>
    </row>
    <row r="197" spans="1:20" ht="17.25" customHeight="1">
      <c r="A197" s="71" t="s">
        <v>160</v>
      </c>
      <c r="B197" s="88"/>
      <c r="C197" s="113">
        <f>SUM(C194:C196)</f>
        <v>6.574</v>
      </c>
      <c r="D197" s="72"/>
      <c r="E197" s="72"/>
      <c r="F197" s="88"/>
      <c r="G197" s="72">
        <f>SUM(G194:G196)</f>
        <v>856</v>
      </c>
      <c r="H197" s="72"/>
      <c r="I197" s="72"/>
      <c r="J197" s="72"/>
      <c r="K197" s="88"/>
      <c r="L197" s="113">
        <f>SUM(L194:L196)</f>
        <v>14.521</v>
      </c>
      <c r="M197" s="72"/>
      <c r="N197" s="72"/>
      <c r="O197" s="72"/>
      <c r="P197" s="88"/>
      <c r="Q197" s="113">
        <f>SUM(Q194:Q196)</f>
        <v>1882.508</v>
      </c>
      <c r="R197" s="72"/>
      <c r="S197" s="72"/>
      <c r="T197" s="88"/>
    </row>
    <row r="198" spans="2:16" ht="16.5" customHeight="1">
      <c r="B198" s="7" t="s">
        <v>75</v>
      </c>
      <c r="C198" s="7" t="s">
        <v>161</v>
      </c>
      <c r="P198" s="65"/>
    </row>
    <row r="199" ht="10.5" customHeight="1"/>
    <row r="200" spans="3:17" ht="16.5" customHeight="1">
      <c r="C200" s="7" t="s">
        <v>162</v>
      </c>
      <c r="E200" s="126" t="s">
        <v>163</v>
      </c>
      <c r="F200" s="76"/>
      <c r="G200" s="76"/>
      <c r="H200" s="126" t="s">
        <v>164</v>
      </c>
      <c r="I200" s="76"/>
      <c r="J200" s="127" t="s">
        <v>26</v>
      </c>
      <c r="L200" s="72">
        <f>ROUND((L197*G197-C197*Q197),3)</f>
        <v>54.368</v>
      </c>
      <c r="M200" s="72"/>
      <c r="O200" s="7" t="s">
        <v>26</v>
      </c>
      <c r="P200" s="107">
        <f>ROUND(L200/L201,2)</f>
        <v>157.13</v>
      </c>
      <c r="Q200" s="108"/>
    </row>
    <row r="201" spans="5:13" ht="16.5" customHeight="1">
      <c r="E201" s="78" t="s">
        <v>165</v>
      </c>
      <c r="F201" s="78"/>
      <c r="G201" s="78" t="s">
        <v>75</v>
      </c>
      <c r="H201" s="7" t="s">
        <v>198</v>
      </c>
      <c r="L201" s="108">
        <f>ROUND(3*L197-C197*C197,3)</f>
        <v>0.346</v>
      </c>
      <c r="M201" s="78"/>
    </row>
    <row r="202" ht="16.5" customHeight="1"/>
    <row r="203" spans="3:17" ht="16.5" customHeight="1">
      <c r="C203" s="7" t="s">
        <v>166</v>
      </c>
      <c r="E203" s="76" t="s">
        <v>167</v>
      </c>
      <c r="F203" s="76"/>
      <c r="G203" s="72" t="s">
        <v>75</v>
      </c>
      <c r="H203" s="76" t="s">
        <v>168</v>
      </c>
      <c r="I203" s="76"/>
      <c r="J203" s="127" t="s">
        <v>26</v>
      </c>
      <c r="L203" s="113">
        <f>ROUND((3*Q197)-(C197*G197),3)</f>
        <v>20.18</v>
      </c>
      <c r="M203" s="113"/>
      <c r="O203" s="7" t="s">
        <v>26</v>
      </c>
      <c r="P203" s="107">
        <f>ROUND(L203/L204,2)</f>
        <v>58.32</v>
      </c>
      <c r="Q203" s="107"/>
    </row>
    <row r="204" spans="5:13" ht="16.5" customHeight="1">
      <c r="E204" s="7" t="s">
        <v>165</v>
      </c>
      <c r="G204" s="78" t="s">
        <v>75</v>
      </c>
      <c r="H204" s="7" t="s">
        <v>198</v>
      </c>
      <c r="L204" s="108">
        <f>ROUND(3*L197-C197*C197,3)</f>
        <v>0.346</v>
      </c>
      <c r="M204" s="108"/>
    </row>
    <row r="205" spans="23:24" ht="8.25" customHeight="1">
      <c r="W205" s="105">
        <f>C183</f>
        <v>41</v>
      </c>
      <c r="X205" s="7">
        <f>S183</f>
        <v>300</v>
      </c>
    </row>
    <row r="206" spans="2:24" ht="16.5" customHeight="1">
      <c r="B206" s="7" t="s">
        <v>75</v>
      </c>
      <c r="C206" s="84" t="s">
        <v>169</v>
      </c>
      <c r="M206" s="7" t="s">
        <v>170</v>
      </c>
      <c r="W206" s="105">
        <f>C185</f>
        <v>46</v>
      </c>
      <c r="X206" s="7">
        <f>S185</f>
        <v>284</v>
      </c>
    </row>
    <row r="207" spans="23:24" ht="16.5" customHeight="1">
      <c r="W207" s="105">
        <f>C187</f>
        <v>51</v>
      </c>
      <c r="X207" s="7">
        <f>S187</f>
        <v>272</v>
      </c>
    </row>
    <row r="208" spans="3:18" ht="16.5" customHeight="1">
      <c r="C208" s="79">
        <f>J19</f>
        <v>278</v>
      </c>
      <c r="D208" s="79"/>
      <c r="E208" s="78" t="s">
        <v>26</v>
      </c>
      <c r="F208" s="107">
        <f>P200</f>
        <v>157.13</v>
      </c>
      <c r="G208" s="78"/>
      <c r="H208" s="78" t="s">
        <v>44</v>
      </c>
      <c r="I208" s="107">
        <f>P203</f>
        <v>58.32</v>
      </c>
      <c r="J208" s="78"/>
      <c r="K208" s="7" t="s">
        <v>45</v>
      </c>
      <c r="L208" s="78"/>
      <c r="M208" s="78"/>
      <c r="N208" s="107"/>
      <c r="O208" s="78"/>
      <c r="Q208" s="107"/>
      <c r="R208" s="107"/>
    </row>
    <row r="209" ht="16.5" customHeight="1"/>
    <row r="210" spans="3:11" ht="16.5" customHeight="1">
      <c r="C210" s="7" t="s">
        <v>45</v>
      </c>
      <c r="E210" s="78" t="s">
        <v>26</v>
      </c>
      <c r="F210" s="92">
        <f>ROUND(C208-F208,2)</f>
        <v>120.87</v>
      </c>
      <c r="G210" s="94"/>
      <c r="H210" s="78" t="s">
        <v>26</v>
      </c>
      <c r="I210" s="107">
        <f>ROUND(F210/F211,2)</f>
        <v>2.07</v>
      </c>
      <c r="J210" s="107"/>
      <c r="K210" s="119"/>
    </row>
    <row r="211" spans="6:7" ht="16.5" customHeight="1">
      <c r="F211" s="107">
        <f>I208</f>
        <v>58.32</v>
      </c>
      <c r="G211" s="78"/>
    </row>
    <row r="212" ht="16.5" customHeight="1"/>
    <row r="213" spans="3:8" ht="16.5" customHeight="1">
      <c r="C213" s="7" t="s">
        <v>57</v>
      </c>
      <c r="D213" s="7" t="s">
        <v>47</v>
      </c>
      <c r="E213" s="7" t="s">
        <v>26</v>
      </c>
      <c r="F213" s="83">
        <v>48.4</v>
      </c>
      <c r="G213" s="83"/>
      <c r="H213" s="7" t="s">
        <v>11</v>
      </c>
    </row>
    <row r="214" ht="16.5" customHeight="1"/>
    <row r="215" ht="16.5" customHeight="1"/>
    <row r="216" ht="16.5" customHeight="1"/>
    <row r="217" ht="16.5" customHeight="1"/>
    <row r="218" ht="16.5" customHeight="1">
      <c r="A218" s="7" t="s">
        <v>171</v>
      </c>
    </row>
    <row r="219" spans="1:18" ht="16.5" customHeight="1">
      <c r="A219" s="7" t="s">
        <v>85</v>
      </c>
      <c r="B219" s="7" t="s">
        <v>86</v>
      </c>
      <c r="F219" s="7" t="s">
        <v>34</v>
      </c>
      <c r="G219" s="7" t="s">
        <v>87</v>
      </c>
      <c r="L219" s="115">
        <f>F213</f>
        <v>48.4</v>
      </c>
      <c r="M219" s="84" t="s">
        <v>88</v>
      </c>
      <c r="O219" s="79">
        <f>I186</f>
        <v>182.04</v>
      </c>
      <c r="P219" s="83"/>
      <c r="Q219" s="7" t="s">
        <v>89</v>
      </c>
      <c r="R219" s="7" t="s">
        <v>90</v>
      </c>
    </row>
    <row r="220" spans="6:15" ht="16.5" customHeight="1">
      <c r="F220" s="7" t="s">
        <v>91</v>
      </c>
      <c r="G220" s="79">
        <f>O219</f>
        <v>182.04</v>
      </c>
      <c r="H220" s="78"/>
      <c r="I220" s="106" t="s">
        <v>76</v>
      </c>
      <c r="J220" s="108">
        <f>ROUND(L219/100,3)</f>
        <v>0.484</v>
      </c>
      <c r="K220" s="107"/>
      <c r="L220" s="7" t="s">
        <v>26</v>
      </c>
      <c r="M220" s="79">
        <v>375</v>
      </c>
      <c r="N220" s="79"/>
      <c r="O220" s="7" t="s">
        <v>89</v>
      </c>
    </row>
    <row r="221" spans="1:15" ht="16.5" customHeight="1">
      <c r="A221" s="7" t="s">
        <v>85</v>
      </c>
      <c r="B221" s="7" t="s">
        <v>92</v>
      </c>
      <c r="F221" s="7" t="s">
        <v>91</v>
      </c>
      <c r="G221" s="79">
        <f>M220</f>
        <v>375</v>
      </c>
      <c r="H221" s="78"/>
      <c r="I221" s="106" t="s">
        <v>76</v>
      </c>
      <c r="J221" s="78">
        <f>J171</f>
        <v>3.05</v>
      </c>
      <c r="K221" s="78"/>
      <c r="L221" s="7" t="s">
        <v>26</v>
      </c>
      <c r="M221" s="79">
        <f>G221/J221</f>
        <v>122.95081967213116</v>
      </c>
      <c r="N221" s="79"/>
      <c r="O221" s="7" t="s">
        <v>93</v>
      </c>
    </row>
    <row r="222" spans="1:15" ht="16.5" customHeight="1">
      <c r="A222" s="7" t="s">
        <v>85</v>
      </c>
      <c r="B222" s="7" t="s">
        <v>94</v>
      </c>
      <c r="M222" s="78">
        <f>M172</f>
        <v>30</v>
      </c>
      <c r="N222" s="78"/>
      <c r="O222" s="7" t="s">
        <v>93</v>
      </c>
    </row>
    <row r="223" spans="1:20" ht="16.5" customHeight="1">
      <c r="A223" s="7" t="s">
        <v>85</v>
      </c>
      <c r="B223" s="7" t="s">
        <v>95</v>
      </c>
      <c r="F223" s="84" t="s">
        <v>96</v>
      </c>
      <c r="G223" s="7" t="s">
        <v>48</v>
      </c>
      <c r="H223" s="108">
        <f>M221/1000</f>
        <v>0.12295081967213116</v>
      </c>
      <c r="I223" s="108"/>
      <c r="J223" s="108" t="s">
        <v>44</v>
      </c>
      <c r="K223" s="108">
        <f>O219/1000</f>
        <v>0.18203999999999998</v>
      </c>
      <c r="L223" s="108"/>
      <c r="M223" s="78" t="s">
        <v>44</v>
      </c>
      <c r="N223" s="78">
        <f>M222/1000</f>
        <v>0.03</v>
      </c>
      <c r="O223" s="78"/>
      <c r="P223" s="7" t="s">
        <v>3</v>
      </c>
      <c r="Q223" s="7" t="s">
        <v>26</v>
      </c>
      <c r="R223" s="128">
        <f>1-(H223+K223+N223)</f>
        <v>0.6650091803278688</v>
      </c>
      <c r="S223" s="107"/>
      <c r="T223" s="84" t="s">
        <v>97</v>
      </c>
    </row>
    <row r="224" spans="1:14" ht="16.5" customHeight="1">
      <c r="A224" s="7" t="s">
        <v>85</v>
      </c>
      <c r="B224" s="7" t="s">
        <v>98</v>
      </c>
      <c r="F224" s="128">
        <f>R223</f>
        <v>0.6650091803278688</v>
      </c>
      <c r="G224" s="78"/>
      <c r="H224" s="82" t="s">
        <v>28</v>
      </c>
      <c r="I224" s="128">
        <f>ROUND(E187/100,4)</f>
        <v>0.45</v>
      </c>
      <c r="J224" s="128"/>
      <c r="K224" s="78" t="s">
        <v>26</v>
      </c>
      <c r="L224" s="128">
        <f>ROUND(F224*I224,4)</f>
        <v>0.2993</v>
      </c>
      <c r="M224" s="128"/>
      <c r="N224" s="84" t="s">
        <v>97</v>
      </c>
    </row>
    <row r="225" spans="1:14" ht="16.5" customHeight="1">
      <c r="A225" s="7" t="s">
        <v>85</v>
      </c>
      <c r="B225" s="7" t="s">
        <v>99</v>
      </c>
      <c r="F225" s="128">
        <f>R223</f>
        <v>0.6650091803278688</v>
      </c>
      <c r="G225" s="78"/>
      <c r="H225" s="78" t="s">
        <v>75</v>
      </c>
      <c r="I225" s="128">
        <f>L224</f>
        <v>0.2993</v>
      </c>
      <c r="J225" s="128"/>
      <c r="K225" s="78" t="s">
        <v>26</v>
      </c>
      <c r="L225" s="128">
        <f>ROUND(F225-I225,4)</f>
        <v>0.3657</v>
      </c>
      <c r="M225" s="128"/>
      <c r="N225" s="84" t="s">
        <v>97</v>
      </c>
    </row>
    <row r="226" spans="1:17" ht="16.5" customHeight="1">
      <c r="A226" s="7" t="s">
        <v>85</v>
      </c>
      <c r="B226" s="7" t="s">
        <v>100</v>
      </c>
      <c r="F226" s="128">
        <f>L224</f>
        <v>0.2993</v>
      </c>
      <c r="G226" s="78"/>
      <c r="H226" s="82" t="s">
        <v>28</v>
      </c>
      <c r="I226" s="78">
        <f>I176</f>
        <v>2.58</v>
      </c>
      <c r="J226" s="78"/>
      <c r="K226" s="82" t="s">
        <v>28</v>
      </c>
      <c r="L226" s="78">
        <v>1000</v>
      </c>
      <c r="M226" s="78"/>
      <c r="N226" s="78" t="s">
        <v>26</v>
      </c>
      <c r="O226" s="79">
        <f>ROUND(F226*I226*L226,0)</f>
        <v>772</v>
      </c>
      <c r="P226" s="79"/>
      <c r="Q226" s="7" t="s">
        <v>89</v>
      </c>
    </row>
    <row r="227" spans="1:17" ht="16.5" customHeight="1">
      <c r="A227" s="7" t="s">
        <v>85</v>
      </c>
      <c r="B227" s="7" t="s">
        <v>101</v>
      </c>
      <c r="F227" s="128">
        <f>L225</f>
        <v>0.3657</v>
      </c>
      <c r="G227" s="78"/>
      <c r="H227" s="82" t="s">
        <v>28</v>
      </c>
      <c r="I227" s="107">
        <f>I177</f>
        <v>2.7</v>
      </c>
      <c r="J227" s="78"/>
      <c r="K227" s="82" t="s">
        <v>28</v>
      </c>
      <c r="L227" s="78">
        <v>1000</v>
      </c>
      <c r="M227" s="78"/>
      <c r="N227" s="78" t="s">
        <v>26</v>
      </c>
      <c r="O227" s="79">
        <v>988</v>
      </c>
      <c r="P227" s="79"/>
      <c r="Q227" s="7" t="s">
        <v>89</v>
      </c>
    </row>
    <row r="228" spans="1:14" ht="16.5" customHeight="1">
      <c r="A228" s="7" t="s">
        <v>85</v>
      </c>
      <c r="B228" s="7" t="s">
        <v>102</v>
      </c>
      <c r="F228" s="79">
        <f>M220</f>
        <v>375</v>
      </c>
      <c r="G228" s="78"/>
      <c r="H228" s="82" t="s">
        <v>28</v>
      </c>
      <c r="I228" s="78">
        <f>I178</f>
        <v>0.003</v>
      </c>
      <c r="J228" s="78"/>
      <c r="K228" s="78" t="s">
        <v>26</v>
      </c>
      <c r="L228" s="107">
        <f>F228*I228</f>
        <v>1.125</v>
      </c>
      <c r="M228" s="107"/>
      <c r="N228" s="7" t="s">
        <v>89</v>
      </c>
    </row>
    <row r="229" ht="10.5" customHeight="1"/>
    <row r="230" ht="16.5" customHeight="1">
      <c r="A230" s="7" t="s">
        <v>172</v>
      </c>
    </row>
    <row r="231" ht="16.5" customHeight="1">
      <c r="A231" s="7" t="s">
        <v>173</v>
      </c>
    </row>
    <row r="232" spans="1:20" ht="16.5" customHeight="1">
      <c r="A232" s="31" t="s">
        <v>106</v>
      </c>
      <c r="B232" s="109"/>
      <c r="C232" s="32" t="s">
        <v>47</v>
      </c>
      <c r="D232" s="109"/>
      <c r="E232" s="32" t="s">
        <v>107</v>
      </c>
      <c r="F232" s="109"/>
      <c r="G232" s="32" t="s">
        <v>66</v>
      </c>
      <c r="H232" s="109"/>
      <c r="I232" s="86" t="s">
        <v>108</v>
      </c>
      <c r="J232" s="86"/>
      <c r="K232" s="86"/>
      <c r="L232" s="86"/>
      <c r="M232" s="86"/>
      <c r="N232" s="86"/>
      <c r="O232" s="86"/>
      <c r="P232" s="86"/>
      <c r="Q232" s="86"/>
      <c r="R232" s="87"/>
      <c r="S232" s="32" t="s">
        <v>69</v>
      </c>
      <c r="T232" s="109"/>
    </row>
    <row r="233" spans="1:20" ht="16.5" customHeight="1">
      <c r="A233" s="71"/>
      <c r="B233" s="88"/>
      <c r="C233" s="72" t="s">
        <v>109</v>
      </c>
      <c r="D233" s="88"/>
      <c r="E233" s="89"/>
      <c r="F233" s="88"/>
      <c r="G233" s="72" t="s">
        <v>110</v>
      </c>
      <c r="H233" s="88"/>
      <c r="I233" s="72" t="s">
        <v>111</v>
      </c>
      <c r="J233" s="88"/>
      <c r="K233" s="72" t="s">
        <v>67</v>
      </c>
      <c r="L233" s="88"/>
      <c r="M233" s="72" t="s">
        <v>112</v>
      </c>
      <c r="N233" s="88"/>
      <c r="O233" s="72" t="s">
        <v>113</v>
      </c>
      <c r="P233" s="88"/>
      <c r="Q233" s="72" t="s">
        <v>114</v>
      </c>
      <c r="R233" s="88"/>
      <c r="S233" s="89"/>
      <c r="T233" s="88"/>
    </row>
    <row r="234" spans="1:20" ht="16.5" customHeight="1">
      <c r="A234" s="71">
        <v>1</v>
      </c>
      <c r="B234" s="110" t="s">
        <v>97</v>
      </c>
      <c r="C234" s="111"/>
      <c r="D234" s="112"/>
      <c r="E234" s="51"/>
      <c r="F234" s="112"/>
      <c r="G234" s="51"/>
      <c r="H234" s="112"/>
      <c r="I234" s="94">
        <f>I244</f>
        <v>375</v>
      </c>
      <c r="J234" s="88"/>
      <c r="K234" s="94">
        <f>K244</f>
        <v>182</v>
      </c>
      <c r="L234" s="88"/>
      <c r="M234" s="94">
        <f>M244</f>
        <v>772</v>
      </c>
      <c r="N234" s="88"/>
      <c r="O234" s="94">
        <f>O244</f>
        <v>988</v>
      </c>
      <c r="P234" s="88"/>
      <c r="Q234" s="92">
        <f>Q244</f>
        <v>1.13</v>
      </c>
      <c r="R234" s="88"/>
      <c r="S234" s="111"/>
      <c r="T234" s="112"/>
    </row>
    <row r="235" spans="1:20" ht="16.5" customHeight="1">
      <c r="A235" s="71" t="s">
        <v>115</v>
      </c>
      <c r="B235" s="88"/>
      <c r="C235" s="90">
        <f>C244</f>
        <v>48.4</v>
      </c>
      <c r="D235" s="88"/>
      <c r="E235" s="72">
        <f>E139</f>
        <v>15</v>
      </c>
      <c r="F235" s="88"/>
      <c r="G235" s="90">
        <f>E185</f>
        <v>45</v>
      </c>
      <c r="H235" s="88"/>
      <c r="I235" s="113">
        <f>I234*0.04</f>
        <v>15</v>
      </c>
      <c r="J235" s="114"/>
      <c r="K235" s="113">
        <f>K234*0.04</f>
        <v>7.28</v>
      </c>
      <c r="L235" s="114"/>
      <c r="M235" s="113">
        <f>M234*0.04</f>
        <v>30.88</v>
      </c>
      <c r="N235" s="114"/>
      <c r="O235" s="113">
        <f>O234*0.04</f>
        <v>39.52</v>
      </c>
      <c r="P235" s="114"/>
      <c r="Q235" s="113">
        <f>Q234*0.04</f>
        <v>0.0452</v>
      </c>
      <c r="R235" s="114"/>
      <c r="S235" s="89"/>
      <c r="T235" s="88"/>
    </row>
    <row r="236" ht="16.5" customHeight="1"/>
    <row r="237" ht="16.5" customHeight="1">
      <c r="A237" s="7" t="s">
        <v>174</v>
      </c>
    </row>
    <row r="238" spans="1:20" ht="16.5" customHeight="1">
      <c r="A238" s="85" t="s">
        <v>117</v>
      </c>
      <c r="B238" s="86"/>
      <c r="C238" s="86"/>
      <c r="D238" s="86"/>
      <c r="E238" s="87"/>
      <c r="F238" s="86" t="s">
        <v>118</v>
      </c>
      <c r="G238" s="86"/>
      <c r="H238" s="86"/>
      <c r="I238" s="86"/>
      <c r="J238" s="87"/>
      <c r="K238" s="86" t="s">
        <v>119</v>
      </c>
      <c r="L238" s="86"/>
      <c r="M238" s="86"/>
      <c r="N238" s="86"/>
      <c r="O238" s="87"/>
      <c r="P238" s="86" t="s">
        <v>120</v>
      </c>
      <c r="Q238" s="86"/>
      <c r="R238" s="86"/>
      <c r="S238" s="86"/>
      <c r="T238" s="87"/>
    </row>
    <row r="239" spans="1:20" ht="16.5" customHeight="1">
      <c r="A239" s="71">
        <f>E235</f>
        <v>15</v>
      </c>
      <c r="B239" s="72"/>
      <c r="C239" s="72"/>
      <c r="D239" s="72"/>
      <c r="E239" s="88"/>
      <c r="F239" s="72">
        <v>4.5</v>
      </c>
      <c r="G239" s="72"/>
      <c r="H239" s="72"/>
      <c r="I239" s="72"/>
      <c r="J239" s="88"/>
      <c r="K239" s="72" t="s">
        <v>132</v>
      </c>
      <c r="L239" s="72"/>
      <c r="M239" s="72"/>
      <c r="N239" s="72"/>
      <c r="O239" s="88"/>
      <c r="P239" s="89"/>
      <c r="Q239" s="72"/>
      <c r="R239" s="72"/>
      <c r="S239" s="72"/>
      <c r="T239" s="88"/>
    </row>
    <row r="240" ht="16.5" customHeight="1"/>
    <row r="241" ht="16.5" customHeight="1">
      <c r="A241" s="7" t="s">
        <v>175</v>
      </c>
    </row>
    <row r="242" spans="1:20" ht="16.5" customHeight="1">
      <c r="A242" s="31" t="s">
        <v>106</v>
      </c>
      <c r="B242" s="109"/>
      <c r="C242" s="32" t="s">
        <v>47</v>
      </c>
      <c r="D242" s="109"/>
      <c r="E242" s="32" t="s">
        <v>176</v>
      </c>
      <c r="F242" s="109"/>
      <c r="G242" s="32" t="s">
        <v>66</v>
      </c>
      <c r="H242" s="109"/>
      <c r="I242" s="86" t="s">
        <v>108</v>
      </c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7"/>
    </row>
    <row r="243" spans="1:20" ht="16.5" customHeight="1">
      <c r="A243" s="71"/>
      <c r="B243" s="88"/>
      <c r="C243" s="72" t="s">
        <v>109</v>
      </c>
      <c r="D243" s="88"/>
      <c r="E243" s="72" t="s">
        <v>110</v>
      </c>
      <c r="F243" s="88"/>
      <c r="G243" s="72" t="s">
        <v>109</v>
      </c>
      <c r="H243" s="88"/>
      <c r="I243" s="72" t="s">
        <v>111</v>
      </c>
      <c r="J243" s="88"/>
      <c r="K243" s="72" t="s">
        <v>67</v>
      </c>
      <c r="L243" s="88"/>
      <c r="M243" s="72" t="s">
        <v>112</v>
      </c>
      <c r="N243" s="88"/>
      <c r="O243" s="72" t="s">
        <v>113</v>
      </c>
      <c r="P243" s="88"/>
      <c r="Q243" s="85" t="s">
        <v>114</v>
      </c>
      <c r="R243" s="87"/>
      <c r="S243" s="72" t="s">
        <v>177</v>
      </c>
      <c r="T243" s="88"/>
    </row>
    <row r="244" spans="1:20" ht="16.5" customHeight="1">
      <c r="A244" s="71">
        <v>1</v>
      </c>
      <c r="B244" s="110" t="s">
        <v>97</v>
      </c>
      <c r="C244" s="90">
        <v>48.4</v>
      </c>
      <c r="D244" s="88"/>
      <c r="E244" s="72">
        <f>E235</f>
        <v>15</v>
      </c>
      <c r="F244" s="88"/>
      <c r="G244" s="90">
        <f>G235</f>
        <v>45</v>
      </c>
      <c r="H244" s="88"/>
      <c r="I244" s="94">
        <v>375</v>
      </c>
      <c r="J244" s="88"/>
      <c r="K244" s="94">
        <v>182</v>
      </c>
      <c r="L244" s="88"/>
      <c r="M244" s="94">
        <v>772</v>
      </c>
      <c r="N244" s="88"/>
      <c r="O244" s="94">
        <v>988</v>
      </c>
      <c r="P244" s="88"/>
      <c r="Q244" s="129">
        <v>1.13</v>
      </c>
      <c r="R244" s="87"/>
      <c r="S244" s="94">
        <v>2317</v>
      </c>
      <c r="T244" s="88"/>
    </row>
    <row r="245" spans="1:2" ht="23.25" customHeight="1">
      <c r="A245" s="7" t="s">
        <v>178</v>
      </c>
      <c r="B245" s="65"/>
    </row>
    <row r="246" spans="1:20" ht="17.25" customHeight="1">
      <c r="A246" s="31"/>
      <c r="B246" s="32"/>
      <c r="C246" s="109"/>
      <c r="D246" s="32" t="s">
        <v>77</v>
      </c>
      <c r="E246" s="109"/>
      <c r="F246" s="32" t="s">
        <v>66</v>
      </c>
      <c r="G246" s="109"/>
      <c r="H246" s="32" t="s">
        <v>176</v>
      </c>
      <c r="I246" s="109"/>
      <c r="J246" s="32" t="s">
        <v>179</v>
      </c>
      <c r="K246" s="109"/>
      <c r="L246" s="130" t="s">
        <v>180</v>
      </c>
      <c r="M246" s="86"/>
      <c r="N246" s="86"/>
      <c r="O246" s="86"/>
      <c r="P246" s="86"/>
      <c r="Q246" s="86"/>
      <c r="R246" s="86"/>
      <c r="S246" s="86"/>
      <c r="T246" s="87"/>
    </row>
    <row r="247" spans="1:20" ht="17.25" customHeight="1">
      <c r="A247" s="71" t="s">
        <v>106</v>
      </c>
      <c r="B247" s="72"/>
      <c r="C247" s="88"/>
      <c r="D247" s="72" t="s">
        <v>109</v>
      </c>
      <c r="E247" s="88"/>
      <c r="F247" s="72" t="s">
        <v>109</v>
      </c>
      <c r="G247" s="88"/>
      <c r="H247" s="72" t="s">
        <v>181</v>
      </c>
      <c r="I247" s="88"/>
      <c r="J247" s="72" t="s">
        <v>109</v>
      </c>
      <c r="K247" s="88"/>
      <c r="L247" s="71" t="s">
        <v>182</v>
      </c>
      <c r="M247" s="72"/>
      <c r="N247" s="88"/>
      <c r="O247" s="71" t="s">
        <v>183</v>
      </c>
      <c r="P247" s="72"/>
      <c r="Q247" s="88"/>
      <c r="R247" s="71" t="s">
        <v>184</v>
      </c>
      <c r="S247" s="72"/>
      <c r="T247" s="88"/>
    </row>
    <row r="248" spans="1:20" ht="17.25" customHeight="1">
      <c r="A248" s="31"/>
      <c r="B248" s="51"/>
      <c r="C248" s="112"/>
      <c r="D248" s="31"/>
      <c r="E248" s="109"/>
      <c r="F248" s="31"/>
      <c r="G248" s="109"/>
      <c r="H248" s="31"/>
      <c r="I248" s="109"/>
      <c r="J248" s="31"/>
      <c r="K248" s="109"/>
      <c r="L248" s="85" t="s">
        <v>185</v>
      </c>
      <c r="M248" s="86"/>
      <c r="N248" s="87"/>
      <c r="O248" s="86">
        <v>180</v>
      </c>
      <c r="P248" s="86"/>
      <c r="Q248" s="87"/>
      <c r="R248" s="86">
        <v>279</v>
      </c>
      <c r="S248" s="86"/>
      <c r="T248" s="87"/>
    </row>
    <row r="249" spans="1:20" ht="17.25" customHeight="1">
      <c r="A249" s="66" t="s">
        <v>186</v>
      </c>
      <c r="B249" s="51"/>
      <c r="C249" s="112"/>
      <c r="D249" s="131"/>
      <c r="E249" s="112"/>
      <c r="F249" s="66"/>
      <c r="G249" s="112"/>
      <c r="H249" s="66"/>
      <c r="I249" s="112"/>
      <c r="J249" s="66"/>
      <c r="K249" s="112"/>
      <c r="L249" s="85" t="s">
        <v>187</v>
      </c>
      <c r="M249" s="86"/>
      <c r="N249" s="87"/>
      <c r="O249" s="86">
        <v>185</v>
      </c>
      <c r="P249" s="86"/>
      <c r="Q249" s="87"/>
      <c r="R249" s="86">
        <v>280</v>
      </c>
      <c r="S249" s="86"/>
      <c r="T249" s="87"/>
    </row>
    <row r="250" spans="1:20" ht="17.25" customHeight="1">
      <c r="A250" s="66" t="s">
        <v>188</v>
      </c>
      <c r="B250" s="51"/>
      <c r="C250" s="112"/>
      <c r="D250" s="132">
        <f>C244</f>
        <v>48.4</v>
      </c>
      <c r="E250" s="112"/>
      <c r="F250" s="132">
        <f>G244</f>
        <v>45</v>
      </c>
      <c r="G250" s="112"/>
      <c r="H250" s="66">
        <v>15.5</v>
      </c>
      <c r="I250" s="112"/>
      <c r="J250" s="66">
        <v>4.4</v>
      </c>
      <c r="K250" s="112"/>
      <c r="L250" s="85" t="s">
        <v>189</v>
      </c>
      <c r="M250" s="86"/>
      <c r="N250" s="87"/>
      <c r="O250" s="86">
        <v>181</v>
      </c>
      <c r="P250" s="86"/>
      <c r="Q250" s="87"/>
      <c r="R250" s="86">
        <v>281</v>
      </c>
      <c r="S250" s="86"/>
      <c r="T250" s="87"/>
    </row>
    <row r="251" spans="1:20" ht="17.25" customHeight="1">
      <c r="A251" s="71"/>
      <c r="B251" s="72"/>
      <c r="C251" s="88"/>
      <c r="D251" s="71"/>
      <c r="E251" s="88"/>
      <c r="F251" s="71"/>
      <c r="G251" s="88"/>
      <c r="H251" s="71"/>
      <c r="I251" s="88"/>
      <c r="J251" s="71"/>
      <c r="K251" s="88"/>
      <c r="L251" s="85" t="s">
        <v>190</v>
      </c>
      <c r="M251" s="86"/>
      <c r="N251" s="87"/>
      <c r="O251" s="133">
        <f>AVERAGE(O248:O250)</f>
        <v>182</v>
      </c>
      <c r="P251" s="86"/>
      <c r="Q251" s="87"/>
      <c r="R251" s="133">
        <f>AVERAGE(R248:R250)</f>
        <v>280</v>
      </c>
      <c r="S251" s="86"/>
      <c r="T251" s="87"/>
    </row>
    <row r="252" spans="1:20" ht="17.25" customHeight="1">
      <c r="A252" s="31"/>
      <c r="B252" s="51"/>
      <c r="C252" s="112"/>
      <c r="D252" s="31"/>
      <c r="E252" s="109"/>
      <c r="F252" s="31"/>
      <c r="G252" s="109"/>
      <c r="H252" s="31"/>
      <c r="I252" s="109"/>
      <c r="J252" s="31"/>
      <c r="K252" s="109"/>
      <c r="L252" s="85" t="s">
        <v>185</v>
      </c>
      <c r="M252" s="86"/>
      <c r="N252" s="87"/>
      <c r="O252" s="86">
        <v>182</v>
      </c>
      <c r="P252" s="86"/>
      <c r="Q252" s="87"/>
      <c r="R252" s="86">
        <v>282</v>
      </c>
      <c r="S252" s="86"/>
      <c r="T252" s="87"/>
    </row>
    <row r="253" spans="1:20" ht="17.25" customHeight="1">
      <c r="A253" s="134" t="s">
        <v>191</v>
      </c>
      <c r="B253" s="51"/>
      <c r="C253" s="112"/>
      <c r="D253" s="131"/>
      <c r="E253" s="112"/>
      <c r="F253" s="66"/>
      <c r="G253" s="112"/>
      <c r="H253" s="66"/>
      <c r="I253" s="112"/>
      <c r="J253" s="66"/>
      <c r="K253" s="112"/>
      <c r="L253" s="85" t="s">
        <v>187</v>
      </c>
      <c r="M253" s="86"/>
      <c r="N253" s="87"/>
      <c r="O253" s="86">
        <v>184</v>
      </c>
      <c r="P253" s="86"/>
      <c r="Q253" s="87"/>
      <c r="R253" s="86">
        <v>282</v>
      </c>
      <c r="S253" s="86"/>
      <c r="T253" s="87"/>
    </row>
    <row r="254" spans="1:20" ht="17.25" customHeight="1">
      <c r="A254" s="66" t="s">
        <v>188</v>
      </c>
      <c r="B254" s="51"/>
      <c r="C254" s="112"/>
      <c r="D254" s="132">
        <f>C244</f>
        <v>48.4</v>
      </c>
      <c r="E254" s="112"/>
      <c r="F254" s="132">
        <f>G244</f>
        <v>45</v>
      </c>
      <c r="G254" s="112"/>
      <c r="H254" s="66">
        <v>15</v>
      </c>
      <c r="I254" s="112"/>
      <c r="J254" s="66">
        <v>4.5</v>
      </c>
      <c r="K254" s="112"/>
      <c r="L254" s="85" t="s">
        <v>189</v>
      </c>
      <c r="M254" s="86"/>
      <c r="N254" s="87"/>
      <c r="O254" s="86">
        <v>182</v>
      </c>
      <c r="P254" s="86"/>
      <c r="Q254" s="87"/>
      <c r="R254" s="86">
        <v>284</v>
      </c>
      <c r="S254" s="86"/>
      <c r="T254" s="87"/>
    </row>
    <row r="255" spans="1:20" ht="17.25" customHeight="1">
      <c r="A255" s="71"/>
      <c r="B255" s="72"/>
      <c r="C255" s="88"/>
      <c r="D255" s="71"/>
      <c r="E255" s="88"/>
      <c r="F255" s="71"/>
      <c r="G255" s="88"/>
      <c r="H255" s="71"/>
      <c r="I255" s="88"/>
      <c r="J255" s="71"/>
      <c r="K255" s="88"/>
      <c r="L255" s="85" t="s">
        <v>190</v>
      </c>
      <c r="M255" s="86"/>
      <c r="N255" s="87"/>
      <c r="O255" s="133">
        <f>AVERAGE(O252:O254)</f>
        <v>182.66666666666666</v>
      </c>
      <c r="P255" s="86"/>
      <c r="Q255" s="87"/>
      <c r="R255" s="133">
        <f>AVERAGE(R252:R254)</f>
        <v>282.6666666666667</v>
      </c>
      <c r="S255" s="86"/>
      <c r="T255" s="87"/>
    </row>
    <row r="256" spans="1:20" ht="17.25" customHeight="1">
      <c r="A256" s="31"/>
      <c r="B256" s="51"/>
      <c r="C256" s="112"/>
      <c r="D256" s="31"/>
      <c r="E256" s="109"/>
      <c r="F256" s="31"/>
      <c r="G256" s="109"/>
      <c r="H256" s="31"/>
      <c r="I256" s="109"/>
      <c r="J256" s="31"/>
      <c r="K256" s="109"/>
      <c r="L256" s="85" t="s">
        <v>185</v>
      </c>
      <c r="M256" s="86"/>
      <c r="N256" s="87"/>
      <c r="O256" s="86">
        <v>183</v>
      </c>
      <c r="P256" s="86"/>
      <c r="Q256" s="87"/>
      <c r="R256" s="86">
        <v>280</v>
      </c>
      <c r="S256" s="86"/>
      <c r="T256" s="87"/>
    </row>
    <row r="257" spans="1:20" ht="17.25" customHeight="1">
      <c r="A257" s="134" t="s">
        <v>192</v>
      </c>
      <c r="B257" s="51"/>
      <c r="C257" s="112"/>
      <c r="D257" s="131"/>
      <c r="E257" s="112"/>
      <c r="F257" s="66"/>
      <c r="G257" s="112"/>
      <c r="H257" s="66"/>
      <c r="I257" s="112"/>
      <c r="J257" s="66"/>
      <c r="K257" s="112"/>
      <c r="L257" s="85" t="s">
        <v>187</v>
      </c>
      <c r="M257" s="86"/>
      <c r="N257" s="87"/>
      <c r="O257" s="86">
        <v>184</v>
      </c>
      <c r="P257" s="86"/>
      <c r="Q257" s="87"/>
      <c r="R257" s="86">
        <v>279</v>
      </c>
      <c r="S257" s="86"/>
      <c r="T257" s="87"/>
    </row>
    <row r="258" spans="1:20" ht="17.25" customHeight="1">
      <c r="A258" s="66" t="s">
        <v>188</v>
      </c>
      <c r="B258" s="51"/>
      <c r="C258" s="112"/>
      <c r="D258" s="132">
        <f>C244</f>
        <v>48.4</v>
      </c>
      <c r="E258" s="112"/>
      <c r="F258" s="132">
        <f>G244</f>
        <v>45</v>
      </c>
      <c r="G258" s="112"/>
      <c r="H258" s="66">
        <v>15</v>
      </c>
      <c r="I258" s="112"/>
      <c r="J258" s="66">
        <v>4.6</v>
      </c>
      <c r="K258" s="112"/>
      <c r="L258" s="85" t="s">
        <v>189</v>
      </c>
      <c r="M258" s="86"/>
      <c r="N258" s="87"/>
      <c r="O258" s="86">
        <v>181</v>
      </c>
      <c r="P258" s="86"/>
      <c r="Q258" s="87"/>
      <c r="R258" s="86">
        <v>280</v>
      </c>
      <c r="S258" s="86"/>
      <c r="T258" s="87"/>
    </row>
    <row r="259" spans="1:20" ht="17.25" customHeight="1">
      <c r="A259" s="71"/>
      <c r="B259" s="72"/>
      <c r="C259" s="88"/>
      <c r="D259" s="71"/>
      <c r="E259" s="88"/>
      <c r="F259" s="71"/>
      <c r="G259" s="88"/>
      <c r="H259" s="71"/>
      <c r="I259" s="88"/>
      <c r="J259" s="71"/>
      <c r="K259" s="88"/>
      <c r="L259" s="85" t="s">
        <v>193</v>
      </c>
      <c r="M259" s="86"/>
      <c r="N259" s="87"/>
      <c r="O259" s="133">
        <f>AVERAGE(O256:O258)</f>
        <v>182.66666666666666</v>
      </c>
      <c r="P259" s="86"/>
      <c r="Q259" s="87"/>
      <c r="R259" s="133">
        <f>AVERAGE(R256:R258)</f>
        <v>279.6666666666667</v>
      </c>
      <c r="S259" s="86"/>
      <c r="T259" s="87"/>
    </row>
    <row r="260" spans="1:20" ht="12">
      <c r="A260" s="31"/>
      <c r="B260" s="32"/>
      <c r="C260" s="109"/>
      <c r="D260" s="31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109"/>
    </row>
    <row r="261" spans="1:20" ht="12">
      <c r="A261" s="66"/>
      <c r="B261" s="51"/>
      <c r="C261" s="112"/>
      <c r="D261" s="66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112"/>
    </row>
    <row r="262" spans="1:20" ht="12">
      <c r="A262" s="66" t="s">
        <v>194</v>
      </c>
      <c r="B262" s="51"/>
      <c r="C262" s="112"/>
      <c r="D262" s="13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112"/>
    </row>
    <row r="263" spans="1:20" ht="12">
      <c r="A263" s="71"/>
      <c r="B263" s="72"/>
      <c r="C263" s="88"/>
      <c r="D263" s="71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88"/>
    </row>
    <row r="264" ht="12">
      <c r="D264" s="65"/>
    </row>
  </sheetData>
  <printOptions horizontalCentered="1" verticalCentered="1"/>
  <pageMargins left="0.6692913385826772" right="0.6299212598425197" top="0.9448818897637796" bottom="0.984251968503937" header="0.5118110236220472" footer="0.7086614173228347"/>
  <pageSetup horizontalDpi="600" verticalDpi="600" orientation="portrait" paperSize="9" scale="89" r:id="rId2"/>
  <headerFooter alignWithMargins="0">
    <oddHeader>&amp;C&amp;A</oddHeader>
    <oddFooter>&amp;C&amp;P 쪽</oddFooter>
  </headerFooter>
  <rowBreaks count="5" manualBreakCount="5">
    <brk id="20" max="19" man="1"/>
    <brk id="62" max="19" man="1"/>
    <brk id="98" max="19" man="1"/>
    <brk id="133" max="19" man="1"/>
    <brk id="174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6"/>
  <sheetViews>
    <sheetView view="pageBreakPreview" zoomScaleNormal="80" zoomScaleSheetLayoutView="100" workbookViewId="0" topLeftCell="A1">
      <selection activeCell="Q2" sqref="Q2"/>
    </sheetView>
  </sheetViews>
  <sheetFormatPr defaultColWidth="8.88671875" defaultRowHeight="13.5"/>
  <cols>
    <col min="1" max="4" width="3.4453125" style="7" customWidth="1"/>
    <col min="5" max="5" width="3.6640625" style="7" customWidth="1"/>
    <col min="6" max="7" width="3.4453125" style="7" customWidth="1"/>
    <col min="8" max="8" width="3.99609375" style="7" customWidth="1"/>
    <col min="9" max="9" width="4.3359375" style="7" customWidth="1"/>
    <col min="10" max="10" width="3.5546875" style="7" customWidth="1"/>
    <col min="11" max="11" width="3.4453125" style="7" customWidth="1"/>
    <col min="12" max="12" width="3.6640625" style="7" customWidth="1"/>
    <col min="13" max="13" width="3.5546875" style="7" customWidth="1"/>
    <col min="14" max="14" width="3.6640625" style="7" customWidth="1"/>
    <col min="15" max="15" width="3.77734375" style="7" customWidth="1"/>
    <col min="16" max="16" width="3.4453125" style="7" customWidth="1"/>
    <col min="17" max="18" width="3.99609375" style="7" customWidth="1"/>
    <col min="19" max="19" width="4.21484375" style="7" customWidth="1"/>
    <col min="20" max="20" width="3.99609375" style="7" customWidth="1"/>
    <col min="21" max="21" width="3.4453125" style="7" customWidth="1"/>
    <col min="22" max="22" width="5.99609375" style="7" customWidth="1"/>
    <col min="23" max="25" width="4.21484375" style="7" customWidth="1"/>
    <col min="26" max="16384" width="7.10546875" style="7" customWidth="1"/>
  </cols>
  <sheetData>
    <row r="1" spans="1:20" s="6" customFormat="1" ht="47.2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5"/>
    </row>
    <row r="2" spans="1:20" s="11" customFormat="1" ht="27" customHeight="1">
      <c r="A2" s="8" t="s">
        <v>1</v>
      </c>
      <c r="F2" s="9">
        <v>25</v>
      </c>
      <c r="G2" s="12" t="s">
        <v>2</v>
      </c>
      <c r="H2" s="9">
        <v>270</v>
      </c>
      <c r="I2" s="12" t="s">
        <v>2</v>
      </c>
      <c r="J2" s="10">
        <v>15</v>
      </c>
      <c r="K2" s="11" t="s">
        <v>3</v>
      </c>
      <c r="O2" s="13"/>
      <c r="P2" s="13"/>
      <c r="Q2" s="14"/>
      <c r="R2" s="13"/>
      <c r="S2" s="13"/>
      <c r="T2" s="13"/>
    </row>
    <row r="3" spans="1:20" s="19" customFormat="1" ht="13.5" customHeight="1">
      <c r="A3" s="15"/>
      <c r="B3" s="16"/>
      <c r="C3" s="16"/>
      <c r="D3" s="16"/>
      <c r="E3" s="16"/>
      <c r="F3" s="17"/>
      <c r="G3" s="17"/>
      <c r="H3" s="17"/>
      <c r="I3" s="17"/>
      <c r="J3" s="18"/>
      <c r="K3" s="16"/>
      <c r="O3" s="20"/>
      <c r="P3" s="20"/>
      <c r="Q3" s="21"/>
      <c r="R3" s="20"/>
      <c r="S3" s="20"/>
      <c r="T3" s="20"/>
    </row>
    <row r="4" spans="1:20" ht="29.25" customHeight="1">
      <c r="A4" s="22" t="s">
        <v>4</v>
      </c>
      <c r="B4" s="23"/>
      <c r="C4" s="23"/>
      <c r="D4" s="23"/>
      <c r="E4" s="23"/>
      <c r="F4" s="24"/>
      <c r="G4" s="23">
        <f>H2</f>
        <v>270</v>
      </c>
      <c r="H4" s="23"/>
      <c r="I4" s="23" t="s">
        <v>5</v>
      </c>
      <c r="J4" s="24"/>
      <c r="K4" s="25" t="s">
        <v>6</v>
      </c>
      <c r="L4" s="23"/>
      <c r="M4" s="23"/>
      <c r="N4" s="23"/>
      <c r="O4" s="23"/>
      <c r="P4" s="24"/>
      <c r="Q4" s="23">
        <f>F2</f>
        <v>25</v>
      </c>
      <c r="R4" s="23"/>
      <c r="S4" s="23" t="s">
        <v>7</v>
      </c>
      <c r="T4" s="24"/>
    </row>
    <row r="5" spans="1:20" ht="29.25" customHeight="1">
      <c r="A5" s="25" t="s">
        <v>8</v>
      </c>
      <c r="B5" s="23"/>
      <c r="C5" s="23"/>
      <c r="D5" s="23"/>
      <c r="E5" s="23"/>
      <c r="F5" s="24"/>
      <c r="G5" s="26">
        <f>J2</f>
        <v>15</v>
      </c>
      <c r="H5" s="23"/>
      <c r="I5" s="23" t="s">
        <v>9</v>
      </c>
      <c r="J5" s="24"/>
      <c r="K5" s="25" t="s">
        <v>10</v>
      </c>
      <c r="L5" s="23"/>
      <c r="M5" s="23"/>
      <c r="N5" s="23"/>
      <c r="O5" s="23"/>
      <c r="P5" s="24"/>
      <c r="Q5" s="23">
        <v>4.5</v>
      </c>
      <c r="R5" s="23"/>
      <c r="S5" s="23" t="s">
        <v>11</v>
      </c>
      <c r="T5" s="24"/>
    </row>
    <row r="6" spans="1:20" ht="29.25" customHeight="1">
      <c r="A6" s="22" t="s">
        <v>12</v>
      </c>
      <c r="B6" s="23"/>
      <c r="C6" s="23"/>
      <c r="D6" s="23"/>
      <c r="E6" s="23"/>
      <c r="F6" s="24"/>
      <c r="G6" s="28">
        <v>19.66</v>
      </c>
      <c r="H6" s="23"/>
      <c r="I6" s="23" t="s">
        <v>5</v>
      </c>
      <c r="J6" s="24"/>
      <c r="K6" s="25" t="s">
        <v>13</v>
      </c>
      <c r="L6" s="23"/>
      <c r="M6" s="23"/>
      <c r="N6" s="23"/>
      <c r="O6" s="23"/>
      <c r="P6" s="24"/>
      <c r="Q6" s="23">
        <f>ROUND((G6/J19)*100,2)</f>
        <v>6.51</v>
      </c>
      <c r="R6" s="23"/>
      <c r="S6" s="23" t="s">
        <v>11</v>
      </c>
      <c r="T6" s="24"/>
    </row>
    <row r="7" spans="1:20" ht="29.25" customHeight="1">
      <c r="A7" s="22" t="s">
        <v>14</v>
      </c>
      <c r="B7" s="23"/>
      <c r="C7" s="23"/>
      <c r="D7" s="23"/>
      <c r="E7" s="23"/>
      <c r="F7" s="24"/>
      <c r="G7" s="27">
        <f>ROUND(J19/G4,2)</f>
        <v>1.12</v>
      </c>
      <c r="H7" s="23"/>
      <c r="I7" s="23"/>
      <c r="J7" s="24"/>
      <c r="K7" s="25" t="s">
        <v>15</v>
      </c>
      <c r="L7" s="23"/>
      <c r="M7" s="23"/>
      <c r="N7" s="23"/>
      <c r="O7" s="23"/>
      <c r="P7" s="24"/>
      <c r="Q7" s="23">
        <v>1.5</v>
      </c>
      <c r="R7" s="23"/>
      <c r="S7" s="23" t="s">
        <v>11</v>
      </c>
      <c r="T7" s="24"/>
    </row>
    <row r="8" spans="1:20" ht="29.25" customHeight="1">
      <c r="A8" s="25" t="s">
        <v>16</v>
      </c>
      <c r="B8" s="23"/>
      <c r="C8" s="23"/>
      <c r="D8" s="23"/>
      <c r="E8" s="23"/>
      <c r="F8" s="24"/>
      <c r="G8" s="27">
        <v>2.58</v>
      </c>
      <c r="H8" s="23"/>
      <c r="I8" s="23"/>
      <c r="J8" s="24"/>
      <c r="K8" s="22" t="s">
        <v>17</v>
      </c>
      <c r="L8" s="23"/>
      <c r="M8" s="23"/>
      <c r="N8" s="23"/>
      <c r="O8" s="23"/>
      <c r="P8" s="24"/>
      <c r="Q8" s="23">
        <v>0.8</v>
      </c>
      <c r="R8" s="23"/>
      <c r="S8" s="23" t="s">
        <v>11</v>
      </c>
      <c r="T8" s="24"/>
    </row>
    <row r="9" spans="1:20" ht="29.25" customHeight="1">
      <c r="A9" s="25" t="s">
        <v>18</v>
      </c>
      <c r="B9" s="23"/>
      <c r="C9" s="23"/>
      <c r="D9" s="23"/>
      <c r="E9" s="23"/>
      <c r="F9" s="24"/>
      <c r="G9" s="27">
        <v>2.7</v>
      </c>
      <c r="H9" s="23"/>
      <c r="I9" s="23"/>
      <c r="J9" s="24"/>
      <c r="K9" s="25" t="s">
        <v>19</v>
      </c>
      <c r="L9" s="23"/>
      <c r="M9" s="23"/>
      <c r="N9" s="23"/>
      <c r="O9" s="23"/>
      <c r="P9" s="24"/>
      <c r="Q9" s="23">
        <v>3.05</v>
      </c>
      <c r="R9" s="23"/>
      <c r="S9" s="23"/>
      <c r="T9" s="24"/>
    </row>
    <row r="10" spans="1:20" ht="29.25" customHeight="1">
      <c r="A10" s="25" t="s">
        <v>20</v>
      </c>
      <c r="B10" s="23"/>
      <c r="C10" s="23"/>
      <c r="D10" s="23"/>
      <c r="E10" s="23"/>
      <c r="F10" s="24"/>
      <c r="G10" s="28">
        <v>2.8</v>
      </c>
      <c r="H10" s="23"/>
      <c r="I10" s="23"/>
      <c r="J10" s="24"/>
      <c r="K10" s="22" t="s">
        <v>21</v>
      </c>
      <c r="L10" s="23"/>
      <c r="M10" s="23"/>
      <c r="N10" s="23"/>
      <c r="O10" s="23"/>
      <c r="P10" s="24"/>
      <c r="Q10" s="23" t="s">
        <v>22</v>
      </c>
      <c r="R10" s="23"/>
      <c r="S10" s="23"/>
      <c r="T10" s="24"/>
    </row>
    <row r="11" spans="1:20" ht="42.75" customHeight="1">
      <c r="A11" s="21"/>
      <c r="B11" s="21"/>
      <c r="C11" s="21"/>
      <c r="D11" s="21"/>
      <c r="E11" s="21"/>
      <c r="F11" s="21"/>
      <c r="G11" s="20"/>
      <c r="H11" s="20"/>
      <c r="I11" s="21"/>
      <c r="J11" s="21"/>
      <c r="K11" s="29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9" customFormat="1" ht="35.25" customHeight="1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30"/>
      <c r="L12" s="20"/>
      <c r="M12" s="20"/>
      <c r="N12" s="20"/>
      <c r="O12" s="20"/>
      <c r="P12" s="20"/>
      <c r="Q12" s="20"/>
      <c r="R12" s="20"/>
      <c r="S12" s="20"/>
      <c r="T12" s="20"/>
    </row>
    <row r="13" spans="1:21" ht="44.25" customHeight="1">
      <c r="A13" s="31" t="s">
        <v>24</v>
      </c>
      <c r="B13" s="32"/>
      <c r="C13" s="32"/>
      <c r="D13" s="33" t="s">
        <v>25</v>
      </c>
      <c r="E13" s="34"/>
      <c r="F13" s="34"/>
      <c r="G13" s="34"/>
      <c r="H13" s="34"/>
      <c r="I13" s="34"/>
      <c r="J13" s="34"/>
      <c r="K13" s="32"/>
      <c r="L13" s="34"/>
      <c r="M13" s="34"/>
      <c r="N13" s="35"/>
      <c r="O13" s="33"/>
      <c r="P13" s="36"/>
      <c r="Q13" s="37"/>
      <c r="R13" s="38"/>
      <c r="S13" s="38"/>
      <c r="T13" s="39"/>
      <c r="U13" s="40"/>
    </row>
    <row r="14" spans="1:20" s="19" customFormat="1" ht="26.25" customHeight="1">
      <c r="A14" s="41"/>
      <c r="B14" s="21"/>
      <c r="C14" s="21"/>
      <c r="D14" s="42"/>
      <c r="E14" s="20"/>
      <c r="F14" s="20"/>
      <c r="G14" s="20"/>
      <c r="H14" s="21"/>
      <c r="I14" s="20"/>
      <c r="J14" s="21" t="s">
        <v>26</v>
      </c>
      <c r="K14" s="20">
        <f>G4</f>
        <v>270</v>
      </c>
      <c r="L14" s="20" t="s">
        <v>27</v>
      </c>
      <c r="M14" s="135">
        <v>1.64</v>
      </c>
      <c r="N14" s="44" t="s">
        <v>28</v>
      </c>
      <c r="O14" s="45">
        <f>G6</f>
        <v>19.66</v>
      </c>
      <c r="P14" s="46" t="s">
        <v>29</v>
      </c>
      <c r="Q14" s="20">
        <f>ROUND(K14+M14*O14,0)</f>
        <v>302</v>
      </c>
      <c r="R14" s="20"/>
      <c r="S14" s="20"/>
      <c r="T14" s="47"/>
    </row>
    <row r="15" spans="1:21" ht="47.25" customHeight="1">
      <c r="A15" s="48" t="s">
        <v>30</v>
      </c>
      <c r="B15" s="49"/>
      <c r="C15" s="49"/>
      <c r="D15" s="50" t="s">
        <v>31</v>
      </c>
      <c r="E15" s="49"/>
      <c r="F15" s="49"/>
      <c r="G15" s="49"/>
      <c r="H15" s="49"/>
      <c r="I15" s="49"/>
      <c r="J15" s="49"/>
      <c r="K15" s="51"/>
      <c r="L15" s="52"/>
      <c r="M15" s="49"/>
      <c r="N15" s="49"/>
      <c r="O15" s="52"/>
      <c r="P15" s="52"/>
      <c r="Q15" s="53"/>
      <c r="R15" s="54"/>
      <c r="S15" s="55"/>
      <c r="T15" s="56"/>
      <c r="U15" s="40"/>
    </row>
    <row r="16" spans="1:20" s="19" customFormat="1" ht="27.75" customHeight="1">
      <c r="A16" s="57"/>
      <c r="B16" s="20"/>
      <c r="C16" s="20"/>
      <c r="D16" s="42"/>
      <c r="E16" s="20"/>
      <c r="F16" s="20"/>
      <c r="G16" s="20"/>
      <c r="H16" s="20"/>
      <c r="I16" s="20"/>
      <c r="J16" s="21" t="s">
        <v>26</v>
      </c>
      <c r="K16" s="46">
        <v>0.85</v>
      </c>
      <c r="L16" s="58" t="s">
        <v>28</v>
      </c>
      <c r="M16" s="20">
        <f>K14</f>
        <v>270</v>
      </c>
      <c r="N16" s="46" t="s">
        <v>27</v>
      </c>
      <c r="O16" s="46">
        <v>3</v>
      </c>
      <c r="P16" s="59" t="s">
        <v>28</v>
      </c>
      <c r="Q16" s="60">
        <f>O14</f>
        <v>19.66</v>
      </c>
      <c r="R16" s="61" t="s">
        <v>32</v>
      </c>
      <c r="S16" s="46">
        <f>ROUND(K16*M16+O16*Q16,0)</f>
        <v>288</v>
      </c>
      <c r="T16" s="62"/>
    </row>
    <row r="17" spans="1:21" ht="40.5" customHeight="1">
      <c r="A17" s="48" t="s">
        <v>33</v>
      </c>
      <c r="B17" s="49"/>
      <c r="C17" s="51" t="s">
        <v>34</v>
      </c>
      <c r="D17" s="49" t="s">
        <v>35</v>
      </c>
      <c r="E17" s="49"/>
      <c r="F17" s="49"/>
      <c r="G17" s="49"/>
      <c r="H17" s="49"/>
      <c r="I17" s="49"/>
      <c r="J17" s="49"/>
      <c r="K17" s="63"/>
      <c r="L17" s="49"/>
      <c r="M17" s="49"/>
      <c r="N17" s="49"/>
      <c r="O17" s="49"/>
      <c r="P17" s="49"/>
      <c r="Q17" s="49"/>
      <c r="R17" s="49"/>
      <c r="S17" s="49"/>
      <c r="T17" s="64"/>
      <c r="U17" s="40"/>
    </row>
    <row r="18" spans="1:21" ht="27.75" customHeight="1">
      <c r="A18" s="48" t="s">
        <v>36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49"/>
      <c r="O18" s="49"/>
      <c r="P18" s="49"/>
      <c r="Q18" s="49"/>
      <c r="R18" s="49"/>
      <c r="S18" s="49"/>
      <c r="T18" s="64"/>
      <c r="U18" s="40"/>
    </row>
    <row r="19" spans="1:20" ht="27.75" customHeight="1">
      <c r="A19" s="66" t="s">
        <v>37</v>
      </c>
      <c r="B19" s="51"/>
      <c r="C19" s="51"/>
      <c r="D19" s="51"/>
      <c r="E19" s="51"/>
      <c r="F19" s="51" t="s">
        <v>34</v>
      </c>
      <c r="G19" s="51" t="s">
        <v>38</v>
      </c>
      <c r="H19" s="51"/>
      <c r="I19" s="51" t="s">
        <v>26</v>
      </c>
      <c r="J19" s="67">
        <f>MAX(Q14,S16)</f>
        <v>302</v>
      </c>
      <c r="K19" s="68"/>
      <c r="L19" s="68" t="s">
        <v>39</v>
      </c>
      <c r="M19" s="69"/>
      <c r="N19" s="65"/>
      <c r="O19" s="65"/>
      <c r="P19" s="65"/>
      <c r="Q19" s="65"/>
      <c r="R19" s="65"/>
      <c r="S19" s="65"/>
      <c r="T19" s="70"/>
    </row>
    <row r="20" spans="1:20" ht="15" customHeight="1">
      <c r="A20" s="71"/>
      <c r="B20" s="72"/>
      <c r="C20" s="72"/>
      <c r="D20" s="72"/>
      <c r="E20" s="72"/>
      <c r="F20" s="72"/>
      <c r="G20" s="72"/>
      <c r="H20" s="72"/>
      <c r="I20" s="72"/>
      <c r="J20" s="73"/>
      <c r="K20" s="74"/>
      <c r="L20" s="74"/>
      <c r="M20" s="75"/>
      <c r="N20" s="76"/>
      <c r="O20" s="76"/>
      <c r="P20" s="76"/>
      <c r="Q20" s="76"/>
      <c r="R20" s="76"/>
      <c r="S20" s="76"/>
      <c r="T20" s="77"/>
    </row>
    <row r="21" ht="19.5" customHeight="1">
      <c r="A21" s="7" t="s">
        <v>40</v>
      </c>
    </row>
    <row r="22" ht="16.5" customHeight="1"/>
    <row r="23" ht="16.5" customHeight="1">
      <c r="A23" s="7" t="s">
        <v>41</v>
      </c>
    </row>
    <row r="24" spans="1:13" ht="16.5" customHeight="1">
      <c r="A24" s="7" t="s">
        <v>42</v>
      </c>
      <c r="B24" s="78" t="s">
        <v>43</v>
      </c>
      <c r="C24" s="78"/>
      <c r="D24" s="78" t="s">
        <v>26</v>
      </c>
      <c r="E24" s="78"/>
      <c r="F24" s="78">
        <v>-74</v>
      </c>
      <c r="G24" s="78"/>
      <c r="H24" s="78" t="s">
        <v>44</v>
      </c>
      <c r="I24" s="78"/>
      <c r="J24" s="78">
        <v>162</v>
      </c>
      <c r="L24" s="7" t="s">
        <v>45</v>
      </c>
      <c r="M24" s="7" t="s">
        <v>46</v>
      </c>
    </row>
    <row r="25" spans="2:12" ht="16.5" customHeight="1">
      <c r="B25" s="79">
        <f>J19</f>
        <v>302</v>
      </c>
      <c r="C25" s="78"/>
      <c r="D25" s="78" t="s">
        <v>26</v>
      </c>
      <c r="E25" s="78"/>
      <c r="F25" s="78">
        <v>-74</v>
      </c>
      <c r="G25" s="78"/>
      <c r="H25" s="78" t="s">
        <v>44</v>
      </c>
      <c r="I25" s="78"/>
      <c r="J25" s="78">
        <v>162</v>
      </c>
      <c r="L25" s="7" t="s">
        <v>45</v>
      </c>
    </row>
    <row r="26" spans="2:18" ht="16.5" customHeight="1">
      <c r="B26" s="78" t="s">
        <v>47</v>
      </c>
      <c r="C26" s="78"/>
      <c r="D26" s="78" t="s">
        <v>26</v>
      </c>
      <c r="E26" s="78"/>
      <c r="F26" s="78" t="s">
        <v>48</v>
      </c>
      <c r="G26" s="78">
        <f>J25</f>
        <v>162</v>
      </c>
      <c r="H26" s="80" t="s">
        <v>195</v>
      </c>
      <c r="I26" s="81">
        <v>74</v>
      </c>
      <c r="J26" s="79" t="s">
        <v>44</v>
      </c>
      <c r="K26" s="79">
        <f>J19</f>
        <v>302</v>
      </c>
      <c r="L26" s="78" t="s">
        <v>49</v>
      </c>
      <c r="M26" s="82" t="s">
        <v>196</v>
      </c>
      <c r="N26" s="78"/>
      <c r="O26" s="78" t="s">
        <v>26</v>
      </c>
      <c r="P26" s="83">
        <f>ROUND((G26/(I26+K26))*100,1)</f>
        <v>43.1</v>
      </c>
      <c r="Q26" s="78"/>
      <c r="R26" s="78" t="s">
        <v>11</v>
      </c>
    </row>
    <row r="27" spans="1:17" ht="20.25" customHeight="1">
      <c r="A27" s="84" t="s">
        <v>50</v>
      </c>
      <c r="P27" s="7">
        <v>60</v>
      </c>
      <c r="Q27" s="84" t="s">
        <v>51</v>
      </c>
    </row>
    <row r="28" spans="1:9" ht="20.25" customHeight="1">
      <c r="A28" s="7" t="s">
        <v>52</v>
      </c>
      <c r="H28" s="7">
        <v>55</v>
      </c>
      <c r="I28" s="84" t="s">
        <v>53</v>
      </c>
    </row>
    <row r="29" spans="1:10" ht="20.25" customHeight="1">
      <c r="A29" s="7" t="s">
        <v>54</v>
      </c>
      <c r="H29" s="7" t="s">
        <v>55</v>
      </c>
      <c r="J29" s="7" t="s">
        <v>56</v>
      </c>
    </row>
    <row r="30" spans="2:17" ht="16.5" customHeight="1">
      <c r="B30" s="7" t="s">
        <v>57</v>
      </c>
      <c r="C30" s="7" t="s">
        <v>58</v>
      </c>
      <c r="M30" s="7" t="s">
        <v>47</v>
      </c>
      <c r="N30" s="7" t="s">
        <v>26</v>
      </c>
      <c r="O30" s="83">
        <f>P26</f>
        <v>43.1</v>
      </c>
      <c r="P30" s="78"/>
      <c r="Q30" s="84" t="s">
        <v>59</v>
      </c>
    </row>
    <row r="31" ht="22.5" customHeight="1"/>
    <row r="32" ht="16.5" customHeight="1">
      <c r="A32" s="7" t="s">
        <v>60</v>
      </c>
    </row>
    <row r="33" spans="1:12" ht="16.5" customHeight="1">
      <c r="A33" s="7" t="s">
        <v>61</v>
      </c>
      <c r="B33" s="7" t="s">
        <v>47</v>
      </c>
      <c r="C33" s="7" t="s">
        <v>26</v>
      </c>
      <c r="D33" s="7">
        <v>55</v>
      </c>
      <c r="E33" s="7" t="s">
        <v>11</v>
      </c>
      <c r="F33" s="7" t="s">
        <v>62</v>
      </c>
      <c r="H33" s="7">
        <v>8</v>
      </c>
      <c r="I33" s="7" t="s">
        <v>63</v>
      </c>
      <c r="J33" s="7" t="s">
        <v>64</v>
      </c>
      <c r="L33" s="7">
        <v>2.8</v>
      </c>
    </row>
    <row r="34" spans="1:20" ht="16.5" customHeight="1">
      <c r="A34" s="85" t="s">
        <v>65</v>
      </c>
      <c r="B34" s="86"/>
      <c r="C34" s="86"/>
      <c r="D34" s="87"/>
      <c r="E34" s="86" t="s">
        <v>66</v>
      </c>
      <c r="F34" s="86"/>
      <c r="G34" s="86"/>
      <c r="H34" s="87"/>
      <c r="I34" s="86" t="s">
        <v>67</v>
      </c>
      <c r="J34" s="86"/>
      <c r="K34" s="86"/>
      <c r="L34" s="87"/>
      <c r="M34" s="86" t="s">
        <v>68</v>
      </c>
      <c r="N34" s="86"/>
      <c r="O34" s="86"/>
      <c r="P34" s="87"/>
      <c r="Q34" s="86" t="s">
        <v>69</v>
      </c>
      <c r="R34" s="86"/>
      <c r="S34" s="86"/>
      <c r="T34" s="87"/>
    </row>
    <row r="35" spans="1:20" ht="16.5" customHeight="1">
      <c r="A35" s="71">
        <v>25</v>
      </c>
      <c r="B35" s="72"/>
      <c r="C35" s="72"/>
      <c r="D35" s="88"/>
      <c r="E35" s="72">
        <v>43</v>
      </c>
      <c r="F35" s="72"/>
      <c r="G35" s="72"/>
      <c r="H35" s="88"/>
      <c r="I35" s="72">
        <v>160</v>
      </c>
      <c r="J35" s="72"/>
      <c r="K35" s="72"/>
      <c r="L35" s="88"/>
      <c r="M35" s="72">
        <v>5</v>
      </c>
      <c r="N35" s="72"/>
      <c r="O35" s="72"/>
      <c r="P35" s="88"/>
      <c r="Q35" s="89"/>
      <c r="R35" s="72"/>
      <c r="S35" s="72"/>
      <c r="T35" s="88"/>
    </row>
    <row r="36" ht="16.5" customHeight="1"/>
    <row r="37" ht="16.5" customHeight="1">
      <c r="A37" s="84" t="s">
        <v>70</v>
      </c>
    </row>
    <row r="38" spans="1:20" ht="17.25" customHeight="1">
      <c r="A38" s="85" t="s">
        <v>71</v>
      </c>
      <c r="B38" s="86"/>
      <c r="C38" s="86"/>
      <c r="D38" s="86"/>
      <c r="E38" s="87"/>
      <c r="F38" s="86" t="s">
        <v>72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  <c r="R38" s="86" t="s">
        <v>73</v>
      </c>
      <c r="S38" s="86"/>
      <c r="T38" s="87"/>
    </row>
    <row r="39" spans="1:20" ht="17.25" customHeight="1">
      <c r="A39" s="71" t="s">
        <v>74</v>
      </c>
      <c r="B39" s="72"/>
      <c r="C39" s="72"/>
      <c r="D39" s="86"/>
      <c r="E39" s="88"/>
      <c r="F39" s="72" t="s">
        <v>48</v>
      </c>
      <c r="G39" s="90">
        <f>G10</f>
        <v>2.8</v>
      </c>
      <c r="H39" s="72" t="s">
        <v>75</v>
      </c>
      <c r="I39" s="72">
        <f>L33</f>
        <v>2.8</v>
      </c>
      <c r="J39" s="72" t="s">
        <v>3</v>
      </c>
      <c r="K39" s="91" t="s">
        <v>76</v>
      </c>
      <c r="L39" s="72">
        <v>0.1</v>
      </c>
      <c r="M39" s="91" t="s">
        <v>28</v>
      </c>
      <c r="N39" s="72">
        <v>0.5</v>
      </c>
      <c r="O39" s="72"/>
      <c r="P39" s="89"/>
      <c r="Q39" s="88"/>
      <c r="R39" s="72">
        <f>ROUND((G39-I39)/L39*N39,2)</f>
        <v>0</v>
      </c>
      <c r="S39" s="72"/>
      <c r="T39" s="88"/>
    </row>
    <row r="40" spans="1:20" ht="17.25" customHeight="1">
      <c r="A40" s="71" t="s">
        <v>77</v>
      </c>
      <c r="B40" s="72"/>
      <c r="C40" s="72"/>
      <c r="D40" s="86"/>
      <c r="E40" s="88"/>
      <c r="F40" s="72" t="s">
        <v>48</v>
      </c>
      <c r="G40" s="92">
        <f>ROUND(O30/100,2)</f>
        <v>0.43</v>
      </c>
      <c r="H40" s="72"/>
      <c r="I40" s="72" t="s">
        <v>75</v>
      </c>
      <c r="J40" s="72">
        <f>ROUND(D33/100,2)</f>
        <v>0.55</v>
      </c>
      <c r="K40" s="72"/>
      <c r="L40" s="72" t="s">
        <v>3</v>
      </c>
      <c r="M40" s="93" t="s">
        <v>76</v>
      </c>
      <c r="N40" s="72">
        <v>0.05</v>
      </c>
      <c r="O40" s="72"/>
      <c r="P40" s="72"/>
      <c r="Q40" s="77"/>
      <c r="R40" s="92">
        <f>ROUND((G40-J40)/N40,2)</f>
        <v>-2.4</v>
      </c>
      <c r="S40" s="94"/>
      <c r="T40" s="95"/>
    </row>
    <row r="41" spans="1:20" ht="17.25" customHeight="1">
      <c r="A41" s="71" t="s">
        <v>78</v>
      </c>
      <c r="B41" s="72"/>
      <c r="C41" s="72"/>
      <c r="D41" s="86"/>
      <c r="E41" s="96"/>
      <c r="F41" s="72" t="s">
        <v>48</v>
      </c>
      <c r="G41" s="72">
        <f>Q5</f>
        <v>4.5</v>
      </c>
      <c r="H41" s="72"/>
      <c r="I41" s="72" t="s">
        <v>75</v>
      </c>
      <c r="J41" s="72">
        <f>M35</f>
        <v>5</v>
      </c>
      <c r="K41" s="72"/>
      <c r="L41" s="72" t="s">
        <v>3</v>
      </c>
      <c r="M41" s="91" t="s">
        <v>28</v>
      </c>
      <c r="N41" s="72">
        <v>-0.75</v>
      </c>
      <c r="O41" s="72"/>
      <c r="P41" s="72"/>
      <c r="Q41" s="77"/>
      <c r="R41" s="92">
        <f>ROUND((G41-J41)*N41,2)</f>
        <v>0.38</v>
      </c>
      <c r="S41" s="94"/>
      <c r="T41" s="95"/>
    </row>
    <row r="42" spans="1:20" ht="17.25" customHeight="1">
      <c r="A42" s="71" t="s">
        <v>79</v>
      </c>
      <c r="B42" s="72"/>
      <c r="C42" s="72"/>
      <c r="D42" s="86"/>
      <c r="E42" s="96"/>
      <c r="F42" s="97"/>
      <c r="G42" s="97"/>
      <c r="H42" s="97"/>
      <c r="I42" s="89">
        <v>3</v>
      </c>
      <c r="J42" s="97"/>
      <c r="K42" s="97" t="s">
        <v>80</v>
      </c>
      <c r="L42" s="97"/>
      <c r="M42" s="97">
        <v>5</v>
      </c>
      <c r="N42" s="97"/>
      <c r="O42" s="97"/>
      <c r="P42" s="97"/>
      <c r="Q42" s="98"/>
      <c r="R42" s="94">
        <v>3</v>
      </c>
      <c r="S42" s="94"/>
      <c r="T42" s="95"/>
    </row>
    <row r="43" spans="1:20" ht="17.25" customHeight="1">
      <c r="A43" s="71" t="s">
        <v>81</v>
      </c>
      <c r="B43" s="72"/>
      <c r="C43" s="72"/>
      <c r="D43" s="86"/>
      <c r="E43" s="88"/>
      <c r="F43" s="72">
        <f>E35</f>
        <v>43</v>
      </c>
      <c r="G43" s="72" t="s">
        <v>44</v>
      </c>
      <c r="H43" s="72">
        <f>R39</f>
        <v>0</v>
      </c>
      <c r="I43" s="72" t="s">
        <v>44</v>
      </c>
      <c r="J43" s="92">
        <f>R40</f>
        <v>-2.4</v>
      </c>
      <c r="K43" s="72"/>
      <c r="L43" s="72" t="s">
        <v>44</v>
      </c>
      <c r="M43" s="72">
        <f>R41</f>
        <v>0.38</v>
      </c>
      <c r="N43" s="72"/>
      <c r="O43" s="99" t="s">
        <v>44</v>
      </c>
      <c r="P43" s="94">
        <f>R42</f>
        <v>3</v>
      </c>
      <c r="Q43" s="77"/>
      <c r="R43" s="90">
        <f>ROUND(F43+H43+J43+M43+P43,1)</f>
        <v>44</v>
      </c>
      <c r="S43" s="94"/>
      <c r="T43" s="95"/>
    </row>
    <row r="44" ht="21" customHeight="1">
      <c r="A44" s="84" t="s">
        <v>82</v>
      </c>
    </row>
    <row r="45" spans="1:20" ht="16.5" customHeight="1">
      <c r="A45" s="85" t="s">
        <v>71</v>
      </c>
      <c r="B45" s="86"/>
      <c r="C45" s="86"/>
      <c r="D45" s="86"/>
      <c r="E45" s="87"/>
      <c r="F45" s="86" t="s">
        <v>72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  <c r="R45" s="86" t="s">
        <v>73</v>
      </c>
      <c r="S45" s="86"/>
      <c r="T45" s="87"/>
    </row>
    <row r="46" spans="1:20" ht="16.5" customHeight="1">
      <c r="A46" s="71" t="s">
        <v>83</v>
      </c>
      <c r="B46" s="72"/>
      <c r="C46" s="72"/>
      <c r="D46" s="86"/>
      <c r="E46" s="88"/>
      <c r="F46" s="72" t="s">
        <v>48</v>
      </c>
      <c r="G46" s="94">
        <f>G5</f>
        <v>15</v>
      </c>
      <c r="H46" s="72" t="s">
        <v>75</v>
      </c>
      <c r="I46" s="72">
        <f>H33</f>
        <v>8</v>
      </c>
      <c r="J46" s="72" t="s">
        <v>3</v>
      </c>
      <c r="K46" s="91" t="s">
        <v>28</v>
      </c>
      <c r="L46" s="72">
        <v>0.012</v>
      </c>
      <c r="M46" s="72"/>
      <c r="N46" s="91" t="s">
        <v>28</v>
      </c>
      <c r="O46" s="72">
        <f>I35</f>
        <v>160</v>
      </c>
      <c r="P46" s="72"/>
      <c r="Q46" s="100"/>
      <c r="R46" s="92">
        <f>ROUND((G46-I46)*L46*O46,2)</f>
        <v>13.44</v>
      </c>
      <c r="S46" s="94"/>
      <c r="T46" s="95"/>
    </row>
    <row r="47" spans="1:20" ht="16.5" customHeight="1">
      <c r="A47" s="71" t="s">
        <v>78</v>
      </c>
      <c r="B47" s="72"/>
      <c r="C47" s="72"/>
      <c r="D47" s="86"/>
      <c r="E47" s="96"/>
      <c r="F47" s="72" t="s">
        <v>48</v>
      </c>
      <c r="G47" s="72">
        <f>Q5</f>
        <v>4.5</v>
      </c>
      <c r="H47" s="72" t="s">
        <v>75</v>
      </c>
      <c r="I47" s="72">
        <f>M35</f>
        <v>5</v>
      </c>
      <c r="J47" s="72" t="s">
        <v>3</v>
      </c>
      <c r="K47" s="91" t="s">
        <v>28</v>
      </c>
      <c r="L47" s="72">
        <v>-0.03</v>
      </c>
      <c r="M47" s="72"/>
      <c r="N47" s="93" t="s">
        <v>28</v>
      </c>
      <c r="O47" s="72">
        <f>O46</f>
        <v>160</v>
      </c>
      <c r="P47" s="72"/>
      <c r="Q47" s="77"/>
      <c r="R47" s="92">
        <f>ROUND((G47-I47)*L47*O47,2)</f>
        <v>2.4</v>
      </c>
      <c r="S47" s="94"/>
      <c r="T47" s="95"/>
    </row>
    <row r="48" spans="1:20" ht="16.5" customHeight="1">
      <c r="A48" s="101" t="s">
        <v>79</v>
      </c>
      <c r="B48" s="102"/>
      <c r="C48" s="102"/>
      <c r="D48" s="103"/>
      <c r="E48" s="104"/>
      <c r="F48" s="76"/>
      <c r="G48" s="76"/>
      <c r="H48" s="76"/>
      <c r="I48" s="76">
        <v>9</v>
      </c>
      <c r="J48" s="76"/>
      <c r="K48" s="76" t="s">
        <v>80</v>
      </c>
      <c r="L48" s="76"/>
      <c r="M48" s="76">
        <v>15</v>
      </c>
      <c r="N48" s="76"/>
      <c r="O48" s="76"/>
      <c r="P48" s="76"/>
      <c r="Q48" s="77"/>
      <c r="R48" s="92">
        <v>9</v>
      </c>
      <c r="S48" s="94"/>
      <c r="T48" s="95"/>
    </row>
    <row r="49" spans="1:20" ht="16.5" customHeight="1">
      <c r="A49" s="101" t="s">
        <v>81</v>
      </c>
      <c r="B49" s="72"/>
      <c r="C49" s="102"/>
      <c r="D49" s="103"/>
      <c r="E49" s="104"/>
      <c r="F49" s="72" t="s">
        <v>48</v>
      </c>
      <c r="G49" s="90">
        <f>R43</f>
        <v>44</v>
      </c>
      <c r="H49" s="72"/>
      <c r="I49" s="72" t="s">
        <v>75</v>
      </c>
      <c r="J49" s="90">
        <f>E35</f>
        <v>43</v>
      </c>
      <c r="K49" s="72"/>
      <c r="L49" s="72" t="s">
        <v>3</v>
      </c>
      <c r="M49" s="91" t="s">
        <v>28</v>
      </c>
      <c r="N49" s="72">
        <v>1.5</v>
      </c>
      <c r="O49" s="72"/>
      <c r="P49" s="76"/>
      <c r="Q49" s="77"/>
      <c r="R49" s="92">
        <f>ROUND((G49-J49)*N49,2)</f>
        <v>1.5</v>
      </c>
      <c r="S49" s="94"/>
      <c r="T49" s="95"/>
    </row>
    <row r="50" spans="1:20" ht="16.5" customHeight="1">
      <c r="A50" s="71" t="s">
        <v>67</v>
      </c>
      <c r="B50" s="72"/>
      <c r="C50" s="72"/>
      <c r="D50" s="86"/>
      <c r="E50" s="88"/>
      <c r="F50" s="72">
        <f>I35</f>
        <v>160</v>
      </c>
      <c r="G50" s="72" t="s">
        <v>44</v>
      </c>
      <c r="H50" s="140">
        <f>R46</f>
        <v>13.44</v>
      </c>
      <c r="I50" s="72" t="s">
        <v>44</v>
      </c>
      <c r="J50" s="92">
        <f>R47</f>
        <v>2.4</v>
      </c>
      <c r="K50" s="72"/>
      <c r="L50" s="72" t="s">
        <v>44</v>
      </c>
      <c r="M50" s="90">
        <f>R48</f>
        <v>9</v>
      </c>
      <c r="N50" s="72" t="s">
        <v>44</v>
      </c>
      <c r="O50" s="92">
        <f>R49</f>
        <v>1.5</v>
      </c>
      <c r="P50" s="72"/>
      <c r="Q50" s="77"/>
      <c r="R50" s="90">
        <f>ROUND(F50+H50+J50+M50+O50,5)</f>
        <v>186.34</v>
      </c>
      <c r="S50" s="94"/>
      <c r="T50" s="95"/>
    </row>
    <row r="51" ht="12" customHeight="1"/>
    <row r="52" ht="16.5" customHeight="1">
      <c r="A52" s="7" t="s">
        <v>84</v>
      </c>
    </row>
    <row r="53" spans="1:18" ht="16.5" customHeight="1">
      <c r="A53" s="7" t="s">
        <v>85</v>
      </c>
      <c r="B53" s="7" t="s">
        <v>86</v>
      </c>
      <c r="F53" s="7" t="s">
        <v>34</v>
      </c>
      <c r="G53" s="7" t="s">
        <v>87</v>
      </c>
      <c r="L53" s="105">
        <f>O30</f>
        <v>43.1</v>
      </c>
      <c r="M53" s="84" t="s">
        <v>88</v>
      </c>
      <c r="O53" s="105">
        <f>R50</f>
        <v>186.34</v>
      </c>
      <c r="Q53" s="7" t="s">
        <v>89</v>
      </c>
      <c r="R53" s="7" t="s">
        <v>90</v>
      </c>
    </row>
    <row r="54" spans="6:15" ht="16.5" customHeight="1">
      <c r="F54" s="7" t="s">
        <v>91</v>
      </c>
      <c r="G54" s="79">
        <f>O53</f>
        <v>186.34</v>
      </c>
      <c r="H54" s="78"/>
      <c r="I54" s="106" t="s">
        <v>76</v>
      </c>
      <c r="J54" s="107">
        <f>ROUND(L53/100,2)</f>
        <v>0.43</v>
      </c>
      <c r="K54" s="107"/>
      <c r="L54" s="7" t="s">
        <v>26</v>
      </c>
      <c r="M54" s="79">
        <f>ROUND(G54/J54,0)</f>
        <v>433</v>
      </c>
      <c r="N54" s="79"/>
      <c r="O54" s="7" t="s">
        <v>89</v>
      </c>
    </row>
    <row r="55" spans="1:15" ht="16.5" customHeight="1">
      <c r="A55" s="7" t="s">
        <v>85</v>
      </c>
      <c r="B55" s="7" t="s">
        <v>92</v>
      </c>
      <c r="F55" s="7" t="s">
        <v>91</v>
      </c>
      <c r="G55" s="79">
        <f>M54</f>
        <v>433</v>
      </c>
      <c r="H55" s="78"/>
      <c r="I55" s="106" t="s">
        <v>76</v>
      </c>
      <c r="J55" s="78">
        <f>Q9</f>
        <v>3.05</v>
      </c>
      <c r="K55" s="78"/>
      <c r="L55" s="7" t="s">
        <v>26</v>
      </c>
      <c r="M55" s="79">
        <f>ROUND(G55/J55,0)</f>
        <v>142</v>
      </c>
      <c r="N55" s="79"/>
      <c r="O55" s="7" t="s">
        <v>93</v>
      </c>
    </row>
    <row r="56" spans="1:15" ht="16.5" customHeight="1">
      <c r="A56" s="7" t="s">
        <v>85</v>
      </c>
      <c r="B56" s="7" t="s">
        <v>94</v>
      </c>
      <c r="M56" s="78">
        <v>30</v>
      </c>
      <c r="N56" s="78"/>
      <c r="O56" s="7" t="s">
        <v>93</v>
      </c>
    </row>
    <row r="57" spans="1:20" ht="16.5" customHeight="1">
      <c r="A57" s="7" t="s">
        <v>85</v>
      </c>
      <c r="B57" s="7" t="s">
        <v>95</v>
      </c>
      <c r="F57" s="84" t="s">
        <v>96</v>
      </c>
      <c r="G57" s="7" t="s">
        <v>48</v>
      </c>
      <c r="H57" s="108">
        <f>M55/1000</f>
        <v>0.142</v>
      </c>
      <c r="I57" s="108"/>
      <c r="J57" s="108" t="s">
        <v>44</v>
      </c>
      <c r="K57" s="108">
        <f>R50/1000</f>
        <v>0.18634</v>
      </c>
      <c r="L57" s="108"/>
      <c r="M57" s="78" t="s">
        <v>44</v>
      </c>
      <c r="N57" s="78">
        <f>M56/1000</f>
        <v>0.03</v>
      </c>
      <c r="O57" s="78"/>
      <c r="P57" s="7" t="s">
        <v>3</v>
      </c>
      <c r="Q57" s="7" t="s">
        <v>26</v>
      </c>
      <c r="R57" s="108">
        <f>1-(H57+K57+N57)</f>
        <v>0.64166</v>
      </c>
      <c r="S57" s="107"/>
      <c r="T57" s="84" t="s">
        <v>97</v>
      </c>
    </row>
    <row r="58" spans="1:14" ht="16.5" customHeight="1">
      <c r="A58" s="7" t="s">
        <v>85</v>
      </c>
      <c r="B58" s="7" t="s">
        <v>98</v>
      </c>
      <c r="F58" s="108">
        <f>R57</f>
        <v>0.64166</v>
      </c>
      <c r="G58" s="78"/>
      <c r="H58" s="82" t="s">
        <v>28</v>
      </c>
      <c r="I58" s="108">
        <f>ROUND(R43/100,3)</f>
        <v>0.44</v>
      </c>
      <c r="J58" s="78"/>
      <c r="K58" s="78" t="s">
        <v>26</v>
      </c>
      <c r="L58" s="108">
        <f>ROUND(F58*I58,3)</f>
        <v>0.282</v>
      </c>
      <c r="M58" s="108"/>
      <c r="N58" s="84" t="s">
        <v>97</v>
      </c>
    </row>
    <row r="59" spans="1:14" ht="16.5" customHeight="1">
      <c r="A59" s="7" t="s">
        <v>85</v>
      </c>
      <c r="B59" s="7" t="s">
        <v>99</v>
      </c>
      <c r="F59" s="108">
        <f>R57</f>
        <v>0.64166</v>
      </c>
      <c r="G59" s="78"/>
      <c r="H59" s="78" t="s">
        <v>75</v>
      </c>
      <c r="I59" s="108">
        <f>L58</f>
        <v>0.282</v>
      </c>
      <c r="J59" s="78"/>
      <c r="K59" s="78" t="s">
        <v>26</v>
      </c>
      <c r="L59" s="108">
        <f>ROUND(F59-I59,3)</f>
        <v>0.36</v>
      </c>
      <c r="M59" s="78"/>
      <c r="N59" s="84" t="s">
        <v>97</v>
      </c>
    </row>
    <row r="60" spans="1:17" ht="21" customHeight="1">
      <c r="A60" s="7" t="s">
        <v>85</v>
      </c>
      <c r="B60" s="7" t="s">
        <v>100</v>
      </c>
      <c r="F60" s="108">
        <f>L58</f>
        <v>0.282</v>
      </c>
      <c r="G60" s="78"/>
      <c r="H60" s="82" t="s">
        <v>28</v>
      </c>
      <c r="I60" s="107">
        <f>G8</f>
        <v>2.58</v>
      </c>
      <c r="J60" s="78"/>
      <c r="K60" s="82" t="s">
        <v>28</v>
      </c>
      <c r="L60" s="78">
        <v>1000</v>
      </c>
      <c r="M60" s="78"/>
      <c r="N60" s="78" t="s">
        <v>26</v>
      </c>
      <c r="O60" s="79">
        <f>ROUND(F60*I60*L60,0)</f>
        <v>728</v>
      </c>
      <c r="P60" s="79"/>
      <c r="Q60" s="7" t="s">
        <v>89</v>
      </c>
    </row>
    <row r="61" spans="1:17" ht="21" customHeight="1">
      <c r="A61" s="7" t="s">
        <v>85</v>
      </c>
      <c r="B61" s="7" t="s">
        <v>101</v>
      </c>
      <c r="F61" s="108">
        <f>L59</f>
        <v>0.36</v>
      </c>
      <c r="G61" s="78"/>
      <c r="H61" s="82" t="s">
        <v>28</v>
      </c>
      <c r="I61" s="107">
        <f>G9</f>
        <v>2.7</v>
      </c>
      <c r="J61" s="78"/>
      <c r="K61" s="82" t="s">
        <v>28</v>
      </c>
      <c r="L61" s="78">
        <v>1000</v>
      </c>
      <c r="M61" s="78"/>
      <c r="N61" s="78" t="s">
        <v>26</v>
      </c>
      <c r="O61" s="79">
        <f>ROUND(F61*I61*L61,0)</f>
        <v>972</v>
      </c>
      <c r="P61" s="79"/>
      <c r="Q61" s="7" t="s">
        <v>89</v>
      </c>
    </row>
    <row r="62" spans="1:14" ht="22.5" customHeight="1">
      <c r="A62" s="7" t="s">
        <v>85</v>
      </c>
      <c r="B62" s="7" t="s">
        <v>102</v>
      </c>
      <c r="F62" s="79">
        <f>M54</f>
        <v>433</v>
      </c>
      <c r="G62" s="78"/>
      <c r="H62" s="82" t="s">
        <v>28</v>
      </c>
      <c r="I62" s="78">
        <v>0.003</v>
      </c>
      <c r="J62" s="78"/>
      <c r="K62" s="78" t="s">
        <v>26</v>
      </c>
      <c r="L62" s="107">
        <f>F62*I62</f>
        <v>1.299</v>
      </c>
      <c r="M62" s="107"/>
      <c r="N62" s="7" t="s">
        <v>89</v>
      </c>
    </row>
    <row r="63" ht="27.75" customHeight="1"/>
    <row r="64" ht="16.5" customHeight="1">
      <c r="A64" s="7" t="s">
        <v>103</v>
      </c>
    </row>
    <row r="65" ht="16.5" customHeight="1">
      <c r="A65" s="7" t="s">
        <v>104</v>
      </c>
    </row>
    <row r="66" ht="16.5" customHeight="1">
      <c r="A66" s="84" t="s">
        <v>105</v>
      </c>
    </row>
    <row r="67" spans="1:20" ht="19.5" customHeight="1">
      <c r="A67" s="31" t="s">
        <v>106</v>
      </c>
      <c r="B67" s="109"/>
      <c r="C67" s="32" t="s">
        <v>47</v>
      </c>
      <c r="D67" s="109"/>
      <c r="E67" s="32" t="s">
        <v>107</v>
      </c>
      <c r="F67" s="109"/>
      <c r="G67" s="32" t="s">
        <v>66</v>
      </c>
      <c r="H67" s="109"/>
      <c r="I67" s="86" t="s">
        <v>108</v>
      </c>
      <c r="J67" s="86"/>
      <c r="K67" s="86"/>
      <c r="L67" s="86"/>
      <c r="M67" s="86"/>
      <c r="N67" s="86"/>
      <c r="O67" s="86"/>
      <c r="P67" s="86"/>
      <c r="Q67" s="86"/>
      <c r="R67" s="87"/>
      <c r="S67" s="32" t="s">
        <v>69</v>
      </c>
      <c r="T67" s="109"/>
    </row>
    <row r="68" spans="1:20" ht="19.5" customHeight="1">
      <c r="A68" s="71"/>
      <c r="B68" s="88"/>
      <c r="C68" s="72" t="s">
        <v>109</v>
      </c>
      <c r="D68" s="88"/>
      <c r="E68" s="89"/>
      <c r="F68" s="88"/>
      <c r="G68" s="72" t="s">
        <v>110</v>
      </c>
      <c r="H68" s="88"/>
      <c r="I68" s="72" t="s">
        <v>111</v>
      </c>
      <c r="J68" s="88"/>
      <c r="K68" s="72" t="s">
        <v>67</v>
      </c>
      <c r="L68" s="88"/>
      <c r="M68" s="72" t="s">
        <v>112</v>
      </c>
      <c r="N68" s="88"/>
      <c r="O68" s="72" t="s">
        <v>113</v>
      </c>
      <c r="P68" s="88"/>
      <c r="Q68" s="72" t="s">
        <v>114</v>
      </c>
      <c r="R68" s="88"/>
      <c r="S68" s="89"/>
      <c r="T68" s="88"/>
    </row>
    <row r="69" spans="1:20" ht="22.5" customHeight="1">
      <c r="A69" s="71">
        <v>1</v>
      </c>
      <c r="B69" s="110" t="s">
        <v>97</v>
      </c>
      <c r="C69" s="111"/>
      <c r="D69" s="112"/>
      <c r="E69" s="51"/>
      <c r="F69" s="112"/>
      <c r="G69" s="51"/>
      <c r="H69" s="112"/>
      <c r="I69" s="94">
        <f>M54</f>
        <v>433</v>
      </c>
      <c r="J69" s="88"/>
      <c r="K69" s="94">
        <f>O53</f>
        <v>186.34</v>
      </c>
      <c r="L69" s="88"/>
      <c r="M69" s="94">
        <f>O60</f>
        <v>728</v>
      </c>
      <c r="N69" s="88"/>
      <c r="O69" s="94">
        <f>O61</f>
        <v>972</v>
      </c>
      <c r="P69" s="88"/>
      <c r="Q69" s="92">
        <f>L62</f>
        <v>1.299</v>
      </c>
      <c r="R69" s="88"/>
      <c r="S69" s="111"/>
      <c r="T69" s="112"/>
    </row>
    <row r="70" spans="1:20" ht="22.5" customHeight="1">
      <c r="A70" s="71" t="s">
        <v>115</v>
      </c>
      <c r="B70" s="88"/>
      <c r="C70" s="94">
        <f>L53</f>
        <v>43.1</v>
      </c>
      <c r="D70" s="88"/>
      <c r="E70" s="94">
        <f>G5</f>
        <v>15</v>
      </c>
      <c r="F70" s="88"/>
      <c r="G70" s="90">
        <f>R43</f>
        <v>44</v>
      </c>
      <c r="H70" s="88"/>
      <c r="I70" s="113">
        <f>I69*0.04</f>
        <v>17.32</v>
      </c>
      <c r="J70" s="114"/>
      <c r="K70" s="113">
        <f>K69*0.04</f>
        <v>7.453600000000001</v>
      </c>
      <c r="L70" s="114"/>
      <c r="M70" s="113">
        <f>M69*0.04</f>
        <v>29.12</v>
      </c>
      <c r="N70" s="114"/>
      <c r="O70" s="113">
        <f>O69*0.04</f>
        <v>38.88</v>
      </c>
      <c r="P70" s="114"/>
      <c r="Q70" s="113">
        <f>Q69*0.04</f>
        <v>0.05196</v>
      </c>
      <c r="R70" s="114"/>
      <c r="S70" s="89"/>
      <c r="T70" s="88"/>
    </row>
    <row r="71" ht="19.5" customHeight="1">
      <c r="A71" s="84" t="s">
        <v>116</v>
      </c>
    </row>
    <row r="72" spans="1:22" ht="27.75" customHeight="1">
      <c r="A72" s="85" t="s">
        <v>117</v>
      </c>
      <c r="B72" s="86"/>
      <c r="C72" s="86"/>
      <c r="D72" s="86"/>
      <c r="E72" s="87"/>
      <c r="F72" s="86" t="s">
        <v>118</v>
      </c>
      <c r="G72" s="86"/>
      <c r="H72" s="86"/>
      <c r="I72" s="86"/>
      <c r="J72" s="87"/>
      <c r="K72" s="86" t="s">
        <v>119</v>
      </c>
      <c r="L72" s="86"/>
      <c r="M72" s="86"/>
      <c r="N72" s="86"/>
      <c r="O72" s="87"/>
      <c r="P72" s="86" t="s">
        <v>120</v>
      </c>
      <c r="Q72" s="86"/>
      <c r="R72" s="86"/>
      <c r="S72" s="86"/>
      <c r="T72" s="87"/>
      <c r="V72" s="105">
        <f>K246</f>
        <v>181</v>
      </c>
    </row>
    <row r="73" spans="1:22" ht="24.75" customHeight="1">
      <c r="A73" s="71">
        <v>14.1</v>
      </c>
      <c r="B73" s="72"/>
      <c r="C73" s="72"/>
      <c r="D73" s="72"/>
      <c r="E73" s="88"/>
      <c r="F73" s="72">
        <v>5.2</v>
      </c>
      <c r="G73" s="72"/>
      <c r="H73" s="72"/>
      <c r="I73" s="72"/>
      <c r="J73" s="88"/>
      <c r="K73" s="72" t="s">
        <v>121</v>
      </c>
      <c r="L73" s="72"/>
      <c r="M73" s="72"/>
      <c r="N73" s="72"/>
      <c r="O73" s="88"/>
      <c r="P73" s="89"/>
      <c r="Q73" s="72"/>
      <c r="R73" s="72"/>
      <c r="S73" s="72"/>
      <c r="T73" s="88"/>
      <c r="V73" s="115">
        <f>G246</f>
        <v>43.95</v>
      </c>
    </row>
    <row r="74" ht="16.5" customHeight="1"/>
    <row r="75" ht="16.5" customHeight="1">
      <c r="B75" s="7" t="s">
        <v>122</v>
      </c>
    </row>
    <row r="76" spans="1:20" ht="16.5" customHeight="1">
      <c r="A76" s="85" t="s">
        <v>71</v>
      </c>
      <c r="B76" s="86"/>
      <c r="C76" s="86"/>
      <c r="D76" s="86"/>
      <c r="E76" s="87"/>
      <c r="F76" s="86" t="s">
        <v>72</v>
      </c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7"/>
      <c r="R76" s="86" t="s">
        <v>73</v>
      </c>
      <c r="S76" s="86"/>
      <c r="T76" s="87"/>
    </row>
    <row r="77" spans="1:20" ht="16.5" customHeight="1">
      <c r="A77" s="71" t="s">
        <v>123</v>
      </c>
      <c r="B77" s="72"/>
      <c r="C77" s="72"/>
      <c r="D77" s="86"/>
      <c r="E77" s="88"/>
      <c r="F77" s="89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88"/>
      <c r="R77" s="90">
        <f>R43</f>
        <v>44</v>
      </c>
      <c r="S77" s="72"/>
      <c r="T77" s="88"/>
    </row>
    <row r="78" spans="1:20" ht="16.5" customHeight="1">
      <c r="A78" s="71" t="s">
        <v>83</v>
      </c>
      <c r="B78" s="72"/>
      <c r="C78" s="72"/>
      <c r="D78" s="86"/>
      <c r="E78" s="88"/>
      <c r="F78" s="72" t="s">
        <v>124</v>
      </c>
      <c r="G78" s="92"/>
      <c r="H78" s="72"/>
      <c r="I78" s="72"/>
      <c r="J78" s="72"/>
      <c r="K78" s="72"/>
      <c r="L78" s="72"/>
      <c r="M78" s="72"/>
      <c r="N78" s="72"/>
      <c r="O78" s="72"/>
      <c r="P78" s="72"/>
      <c r="Q78" s="88"/>
      <c r="R78" s="92">
        <v>0</v>
      </c>
      <c r="S78" s="94"/>
      <c r="T78" s="95"/>
    </row>
    <row r="79" spans="1:20" ht="16.5" customHeight="1">
      <c r="A79" s="71" t="s">
        <v>78</v>
      </c>
      <c r="B79" s="72"/>
      <c r="C79" s="72"/>
      <c r="D79" s="86"/>
      <c r="E79" s="96"/>
      <c r="F79" s="72" t="s">
        <v>48</v>
      </c>
      <c r="G79" s="72">
        <f>Q5</f>
        <v>4.5</v>
      </c>
      <c r="H79" s="72"/>
      <c r="I79" s="72" t="s">
        <v>75</v>
      </c>
      <c r="J79" s="72">
        <f>F73</f>
        <v>5.2</v>
      </c>
      <c r="K79" s="72"/>
      <c r="L79" s="72" t="s">
        <v>3</v>
      </c>
      <c r="M79" s="91" t="s">
        <v>28</v>
      </c>
      <c r="N79" s="72">
        <v>0.75</v>
      </c>
      <c r="O79" s="72"/>
      <c r="P79" s="72"/>
      <c r="Q79" s="77"/>
      <c r="R79" s="92">
        <f>ROUND((G79-J79)*N79,2)</f>
        <v>-0.53</v>
      </c>
      <c r="S79" s="94"/>
      <c r="T79" s="95"/>
    </row>
    <row r="80" spans="1:20" ht="16.5" customHeight="1">
      <c r="A80" s="71" t="s">
        <v>81</v>
      </c>
      <c r="B80" s="72"/>
      <c r="C80" s="72"/>
      <c r="D80" s="86"/>
      <c r="E80" s="88"/>
      <c r="F80" s="116"/>
      <c r="G80" s="90">
        <f>R77</f>
        <v>44</v>
      </c>
      <c r="H80" s="72"/>
      <c r="I80" s="72" t="s">
        <v>44</v>
      </c>
      <c r="J80" s="92">
        <f>R78</f>
        <v>0</v>
      </c>
      <c r="K80" s="72"/>
      <c r="L80" s="72" t="s">
        <v>44</v>
      </c>
      <c r="M80" s="72"/>
      <c r="N80" s="92">
        <f>R79</f>
        <v>-0.53</v>
      </c>
      <c r="O80" s="92"/>
      <c r="P80" s="117"/>
      <c r="Q80" s="77"/>
      <c r="R80" s="90">
        <f>ROUND(G80+J80+N80,1)</f>
        <v>43.5</v>
      </c>
      <c r="S80" s="94"/>
      <c r="T80" s="95"/>
    </row>
    <row r="81" ht="22.5" customHeight="1">
      <c r="B81" s="7" t="s">
        <v>125</v>
      </c>
    </row>
    <row r="82" spans="1:20" ht="16.5" customHeight="1">
      <c r="A82" s="85" t="s">
        <v>71</v>
      </c>
      <c r="B82" s="86"/>
      <c r="C82" s="86"/>
      <c r="D82" s="86"/>
      <c r="E82" s="87"/>
      <c r="F82" s="86" t="s">
        <v>72</v>
      </c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7"/>
      <c r="R82" s="86" t="s">
        <v>73</v>
      </c>
      <c r="S82" s="86"/>
      <c r="T82" s="87"/>
    </row>
    <row r="83" spans="1:20" ht="16.5" customHeight="1">
      <c r="A83" s="71" t="s">
        <v>123</v>
      </c>
      <c r="B83" s="72"/>
      <c r="C83" s="72"/>
      <c r="D83" s="86"/>
      <c r="E83" s="88"/>
      <c r="F83" s="89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88"/>
      <c r="R83" s="90">
        <f>R50</f>
        <v>186.34</v>
      </c>
      <c r="S83" s="72"/>
      <c r="T83" s="88"/>
    </row>
    <row r="84" spans="1:20" ht="16.5" customHeight="1">
      <c r="A84" s="71" t="s">
        <v>83</v>
      </c>
      <c r="B84" s="72"/>
      <c r="C84" s="72"/>
      <c r="D84" s="86"/>
      <c r="E84" s="88"/>
      <c r="F84" s="72" t="s">
        <v>48</v>
      </c>
      <c r="G84" s="94">
        <f>E70</f>
        <v>15</v>
      </c>
      <c r="H84" s="72" t="s">
        <v>75</v>
      </c>
      <c r="I84" s="72">
        <f>A73</f>
        <v>14.1</v>
      </c>
      <c r="J84" s="72" t="s">
        <v>3</v>
      </c>
      <c r="K84" s="91" t="s">
        <v>28</v>
      </c>
      <c r="L84" s="72">
        <v>0.012</v>
      </c>
      <c r="M84" s="72"/>
      <c r="N84" s="91" t="s">
        <v>28</v>
      </c>
      <c r="O84" s="94">
        <f>R83</f>
        <v>186.34</v>
      </c>
      <c r="P84" s="72"/>
      <c r="Q84" s="100"/>
      <c r="R84" s="92">
        <f>ROUND((G84-I84)*L84*O84,2)</f>
        <v>2.01</v>
      </c>
      <c r="S84" s="94"/>
      <c r="T84" s="95"/>
    </row>
    <row r="85" spans="1:20" ht="16.5" customHeight="1">
      <c r="A85" s="71" t="s">
        <v>78</v>
      </c>
      <c r="B85" s="72"/>
      <c r="C85" s="72"/>
      <c r="D85" s="86"/>
      <c r="E85" s="96"/>
      <c r="F85" s="72" t="s">
        <v>48</v>
      </c>
      <c r="G85" s="72">
        <f>Q5</f>
        <v>4.5</v>
      </c>
      <c r="H85" s="72" t="s">
        <v>75</v>
      </c>
      <c r="I85" s="72">
        <f>F73</f>
        <v>5.2</v>
      </c>
      <c r="J85" s="72" t="s">
        <v>3</v>
      </c>
      <c r="K85" s="91" t="s">
        <v>28</v>
      </c>
      <c r="L85" s="72">
        <v>0.03</v>
      </c>
      <c r="M85" s="72"/>
      <c r="N85" s="91" t="s">
        <v>28</v>
      </c>
      <c r="O85" s="94">
        <f>R83</f>
        <v>186.34</v>
      </c>
      <c r="P85" s="72"/>
      <c r="Q85" s="77"/>
      <c r="R85" s="92">
        <f>ROUND((G85-I85)*L85*O85,2)</f>
        <v>-3.91</v>
      </c>
      <c r="S85" s="94"/>
      <c r="T85" s="95"/>
    </row>
    <row r="86" spans="1:20" ht="16.5" customHeight="1">
      <c r="A86" s="71" t="s">
        <v>66</v>
      </c>
      <c r="B86" s="72"/>
      <c r="C86" s="72"/>
      <c r="D86" s="86"/>
      <c r="E86" s="96"/>
      <c r="F86" s="72" t="s">
        <v>48</v>
      </c>
      <c r="G86" s="90">
        <f>R80</f>
        <v>43.5</v>
      </c>
      <c r="H86" s="72"/>
      <c r="I86" s="72" t="s">
        <v>75</v>
      </c>
      <c r="J86" s="90">
        <f>G80</f>
        <v>44</v>
      </c>
      <c r="K86" s="72"/>
      <c r="L86" s="72" t="s">
        <v>3</v>
      </c>
      <c r="M86" s="72"/>
      <c r="N86" s="91" t="s">
        <v>28</v>
      </c>
      <c r="O86" s="72">
        <f>1.5</f>
        <v>1.5</v>
      </c>
      <c r="P86" s="72"/>
      <c r="Q86" s="77"/>
      <c r="R86" s="92">
        <f>ROUND((G86-J86)*O86,2)</f>
        <v>-0.75</v>
      </c>
      <c r="S86" s="94"/>
      <c r="T86" s="95"/>
    </row>
    <row r="87" spans="1:20" ht="16.5" customHeight="1">
      <c r="A87" s="71" t="s">
        <v>67</v>
      </c>
      <c r="B87" s="72"/>
      <c r="C87" s="72"/>
      <c r="D87" s="86"/>
      <c r="E87" s="88"/>
      <c r="F87" s="116"/>
      <c r="G87" s="90">
        <f>R83</f>
        <v>186.34</v>
      </c>
      <c r="H87" s="72"/>
      <c r="I87" s="72" t="s">
        <v>44</v>
      </c>
      <c r="J87" s="92">
        <f>R84</f>
        <v>2.01</v>
      </c>
      <c r="K87" s="72"/>
      <c r="L87" s="72" t="s">
        <v>44</v>
      </c>
      <c r="M87" s="92">
        <f>R85</f>
        <v>-3.91</v>
      </c>
      <c r="N87" s="72"/>
      <c r="O87" s="92" t="s">
        <v>44</v>
      </c>
      <c r="P87" s="92">
        <f>R86</f>
        <v>-0.75</v>
      </c>
      <c r="Q87" s="118"/>
      <c r="R87" s="90">
        <f>ROUND(G87+J87+M87+P87,5)</f>
        <v>183.69</v>
      </c>
      <c r="S87" s="94"/>
      <c r="T87" s="95"/>
    </row>
    <row r="88" ht="22.5" customHeight="1">
      <c r="B88" s="7" t="s">
        <v>126</v>
      </c>
    </row>
    <row r="89" spans="1:18" ht="23.25" customHeight="1">
      <c r="A89" s="7" t="s">
        <v>85</v>
      </c>
      <c r="B89" s="7" t="s">
        <v>86</v>
      </c>
      <c r="F89" s="7" t="s">
        <v>34</v>
      </c>
      <c r="G89" s="7" t="s">
        <v>87</v>
      </c>
      <c r="L89" s="105">
        <f>C70</f>
        <v>43.1</v>
      </c>
      <c r="M89" s="84" t="s">
        <v>88</v>
      </c>
      <c r="O89" s="79">
        <f>R87</f>
        <v>183.69</v>
      </c>
      <c r="P89" s="83"/>
      <c r="Q89" s="7" t="s">
        <v>89</v>
      </c>
      <c r="R89" s="7" t="s">
        <v>90</v>
      </c>
    </row>
    <row r="90" spans="6:15" ht="23.25" customHeight="1">
      <c r="F90" s="7" t="s">
        <v>91</v>
      </c>
      <c r="G90" s="79">
        <f>O89</f>
        <v>183.69</v>
      </c>
      <c r="H90" s="78"/>
      <c r="I90" s="106" t="s">
        <v>76</v>
      </c>
      <c r="J90" s="107">
        <f>ROUND(L89/100,2)</f>
        <v>0.43</v>
      </c>
      <c r="K90" s="107"/>
      <c r="L90" s="7" t="s">
        <v>26</v>
      </c>
      <c r="M90" s="79">
        <f>ROUND(G90/J90,0)</f>
        <v>427</v>
      </c>
      <c r="N90" s="79"/>
      <c r="O90" s="7" t="s">
        <v>89</v>
      </c>
    </row>
    <row r="91" spans="1:15" ht="23.25" customHeight="1">
      <c r="A91" s="7" t="s">
        <v>85</v>
      </c>
      <c r="B91" s="7" t="s">
        <v>92</v>
      </c>
      <c r="F91" s="7" t="s">
        <v>91</v>
      </c>
      <c r="G91" s="79">
        <f>M90</f>
        <v>427</v>
      </c>
      <c r="H91" s="78"/>
      <c r="I91" s="106" t="s">
        <v>76</v>
      </c>
      <c r="J91" s="78">
        <f>J55</f>
        <v>3.05</v>
      </c>
      <c r="K91" s="78"/>
      <c r="L91" s="7" t="s">
        <v>26</v>
      </c>
      <c r="M91" s="79">
        <f>ROUND(G91/J91,0)</f>
        <v>140</v>
      </c>
      <c r="N91" s="79"/>
      <c r="O91" s="7" t="s">
        <v>93</v>
      </c>
    </row>
    <row r="92" spans="1:15" ht="23.25" customHeight="1">
      <c r="A92" s="7" t="s">
        <v>85</v>
      </c>
      <c r="B92" s="7" t="s">
        <v>94</v>
      </c>
      <c r="M92" s="78">
        <f>M56</f>
        <v>30</v>
      </c>
      <c r="N92" s="78"/>
      <c r="O92" s="7" t="s">
        <v>93</v>
      </c>
    </row>
    <row r="93" spans="1:20" ht="27" customHeight="1">
      <c r="A93" s="7" t="s">
        <v>85</v>
      </c>
      <c r="B93" s="7" t="s">
        <v>95</v>
      </c>
      <c r="F93" s="84" t="s">
        <v>96</v>
      </c>
      <c r="G93" s="7" t="s">
        <v>48</v>
      </c>
      <c r="H93" s="108">
        <f>M91/1000</f>
        <v>0.14</v>
      </c>
      <c r="I93" s="108"/>
      <c r="J93" s="108" t="s">
        <v>44</v>
      </c>
      <c r="K93" s="108">
        <f>O89/1000</f>
        <v>0.18369</v>
      </c>
      <c r="L93" s="108"/>
      <c r="M93" s="78" t="s">
        <v>44</v>
      </c>
      <c r="N93" s="78">
        <f>M92/1000</f>
        <v>0.03</v>
      </c>
      <c r="O93" s="78"/>
      <c r="P93" s="7" t="s">
        <v>3</v>
      </c>
      <c r="Q93" s="7" t="s">
        <v>26</v>
      </c>
      <c r="R93" s="108">
        <f>1-(H93+K93+N93)</f>
        <v>0.6463099999999999</v>
      </c>
      <c r="S93" s="107"/>
      <c r="T93" s="84" t="s">
        <v>97</v>
      </c>
    </row>
    <row r="94" spans="1:14" ht="27" customHeight="1">
      <c r="A94" s="7" t="s">
        <v>85</v>
      </c>
      <c r="B94" s="7" t="s">
        <v>98</v>
      </c>
      <c r="F94" s="108">
        <f>R93</f>
        <v>0.6463099999999999</v>
      </c>
      <c r="G94" s="78"/>
      <c r="H94" s="82" t="s">
        <v>28</v>
      </c>
      <c r="I94" s="108">
        <f>ROUND(R80/100,3)</f>
        <v>0.435</v>
      </c>
      <c r="J94" s="78"/>
      <c r="K94" s="78" t="s">
        <v>26</v>
      </c>
      <c r="L94" s="108">
        <f>ROUND(F94*I94,3)</f>
        <v>0.281</v>
      </c>
      <c r="M94" s="108"/>
      <c r="N94" s="84" t="s">
        <v>97</v>
      </c>
    </row>
    <row r="95" spans="1:14" ht="27" customHeight="1">
      <c r="A95" s="7" t="s">
        <v>85</v>
      </c>
      <c r="B95" s="7" t="s">
        <v>99</v>
      </c>
      <c r="F95" s="108">
        <f>R93</f>
        <v>0.6463099999999999</v>
      </c>
      <c r="G95" s="78"/>
      <c r="H95" s="78" t="s">
        <v>75</v>
      </c>
      <c r="I95" s="108">
        <f>L94</f>
        <v>0.281</v>
      </c>
      <c r="J95" s="78"/>
      <c r="K95" s="78" t="s">
        <v>26</v>
      </c>
      <c r="L95" s="108">
        <f>ROUND(F95-I95,3)</f>
        <v>0.365</v>
      </c>
      <c r="M95" s="78"/>
      <c r="N95" s="84" t="s">
        <v>97</v>
      </c>
    </row>
    <row r="96" spans="1:17" ht="27" customHeight="1">
      <c r="A96" s="7" t="s">
        <v>85</v>
      </c>
      <c r="B96" s="7" t="s">
        <v>100</v>
      </c>
      <c r="F96" s="108">
        <f>L94</f>
        <v>0.281</v>
      </c>
      <c r="G96" s="78"/>
      <c r="H96" s="82" t="s">
        <v>28</v>
      </c>
      <c r="I96" s="78">
        <f>I60</f>
        <v>2.58</v>
      </c>
      <c r="J96" s="78"/>
      <c r="K96" s="82" t="s">
        <v>28</v>
      </c>
      <c r="L96" s="78">
        <v>1000</v>
      </c>
      <c r="M96" s="78"/>
      <c r="N96" s="78" t="s">
        <v>26</v>
      </c>
      <c r="O96" s="79">
        <f>ROUND(F96*I96*L96,0)</f>
        <v>725</v>
      </c>
      <c r="P96" s="79"/>
      <c r="Q96" s="7" t="s">
        <v>89</v>
      </c>
    </row>
    <row r="97" spans="1:17" ht="27" customHeight="1">
      <c r="A97" s="7" t="s">
        <v>85</v>
      </c>
      <c r="B97" s="7" t="s">
        <v>101</v>
      </c>
      <c r="F97" s="108">
        <f>L95</f>
        <v>0.365</v>
      </c>
      <c r="G97" s="78"/>
      <c r="H97" s="82" t="s">
        <v>28</v>
      </c>
      <c r="I97" s="107">
        <f>I61</f>
        <v>2.7</v>
      </c>
      <c r="J97" s="78"/>
      <c r="K97" s="82" t="s">
        <v>28</v>
      </c>
      <c r="L97" s="78">
        <v>1000</v>
      </c>
      <c r="M97" s="78"/>
      <c r="N97" s="78" t="s">
        <v>26</v>
      </c>
      <c r="O97" s="79">
        <f>ROUND(F97*I97*L97,0)</f>
        <v>986</v>
      </c>
      <c r="P97" s="79"/>
      <c r="Q97" s="7" t="s">
        <v>89</v>
      </c>
    </row>
    <row r="98" spans="1:14" ht="27" customHeight="1">
      <c r="A98" s="7" t="s">
        <v>85</v>
      </c>
      <c r="B98" s="7" t="s">
        <v>102</v>
      </c>
      <c r="F98" s="79">
        <f>M90</f>
        <v>427</v>
      </c>
      <c r="G98" s="78"/>
      <c r="H98" s="82" t="s">
        <v>28</v>
      </c>
      <c r="I98" s="78">
        <f>I62</f>
        <v>0.003</v>
      </c>
      <c r="J98" s="78"/>
      <c r="K98" s="78" t="s">
        <v>26</v>
      </c>
      <c r="L98" s="107">
        <f>F98*I98</f>
        <v>1.281</v>
      </c>
      <c r="M98" s="107"/>
      <c r="N98" s="7" t="s">
        <v>89</v>
      </c>
    </row>
    <row r="99" ht="24.75" customHeight="1"/>
    <row r="100" ht="24.75" customHeight="1">
      <c r="A100" s="84" t="s">
        <v>127</v>
      </c>
    </row>
    <row r="101" ht="22.5" customHeight="1">
      <c r="A101" s="84" t="s">
        <v>105</v>
      </c>
    </row>
    <row r="102" spans="1:20" ht="21" customHeight="1">
      <c r="A102" s="31" t="s">
        <v>106</v>
      </c>
      <c r="B102" s="109"/>
      <c r="C102" s="32" t="s">
        <v>47</v>
      </c>
      <c r="D102" s="109"/>
      <c r="E102" s="32" t="s">
        <v>107</v>
      </c>
      <c r="F102" s="109"/>
      <c r="G102" s="32" t="s">
        <v>66</v>
      </c>
      <c r="H102" s="109"/>
      <c r="I102" s="86" t="s">
        <v>108</v>
      </c>
      <c r="J102" s="86"/>
      <c r="K102" s="86"/>
      <c r="L102" s="86"/>
      <c r="M102" s="86"/>
      <c r="N102" s="86"/>
      <c r="O102" s="86"/>
      <c r="P102" s="86"/>
      <c r="Q102" s="86"/>
      <c r="R102" s="87"/>
      <c r="S102" s="32" t="s">
        <v>69</v>
      </c>
      <c r="T102" s="109"/>
    </row>
    <row r="103" spans="1:20" ht="21" customHeight="1">
      <c r="A103" s="71"/>
      <c r="B103" s="88"/>
      <c r="C103" s="72" t="s">
        <v>109</v>
      </c>
      <c r="D103" s="88"/>
      <c r="E103" s="89"/>
      <c r="F103" s="88"/>
      <c r="G103" s="72" t="s">
        <v>110</v>
      </c>
      <c r="H103" s="88"/>
      <c r="I103" s="72" t="s">
        <v>111</v>
      </c>
      <c r="J103" s="88"/>
      <c r="K103" s="72" t="s">
        <v>67</v>
      </c>
      <c r="L103" s="88"/>
      <c r="M103" s="72" t="s">
        <v>112</v>
      </c>
      <c r="N103" s="88"/>
      <c r="O103" s="72" t="s">
        <v>113</v>
      </c>
      <c r="P103" s="88"/>
      <c r="Q103" s="72" t="s">
        <v>114</v>
      </c>
      <c r="R103" s="88"/>
      <c r="S103" s="89"/>
      <c r="T103" s="88"/>
    </row>
    <row r="104" spans="1:20" ht="21" customHeight="1">
      <c r="A104" s="71">
        <v>1</v>
      </c>
      <c r="B104" s="110" t="s">
        <v>97</v>
      </c>
      <c r="C104" s="111"/>
      <c r="D104" s="112"/>
      <c r="E104" s="51"/>
      <c r="F104" s="112"/>
      <c r="G104" s="51"/>
      <c r="H104" s="112"/>
      <c r="I104" s="94">
        <f>M90</f>
        <v>427</v>
      </c>
      <c r="J104" s="88"/>
      <c r="K104" s="94">
        <f>O89</f>
        <v>183.69</v>
      </c>
      <c r="L104" s="88"/>
      <c r="M104" s="94">
        <f>O96</f>
        <v>725</v>
      </c>
      <c r="N104" s="88"/>
      <c r="O104" s="94">
        <f>O97</f>
        <v>986</v>
      </c>
      <c r="P104" s="88"/>
      <c r="Q104" s="92">
        <f>L98</f>
        <v>1.281</v>
      </c>
      <c r="R104" s="88"/>
      <c r="S104" s="111"/>
      <c r="T104" s="112"/>
    </row>
    <row r="105" spans="1:20" ht="21" customHeight="1">
      <c r="A105" s="71" t="s">
        <v>115</v>
      </c>
      <c r="B105" s="88"/>
      <c r="C105" s="94">
        <f>L89</f>
        <v>43.1</v>
      </c>
      <c r="D105" s="88"/>
      <c r="E105" s="72">
        <f>E70</f>
        <v>15</v>
      </c>
      <c r="F105" s="88"/>
      <c r="G105" s="94">
        <f>R80</f>
        <v>43.5</v>
      </c>
      <c r="H105" s="88"/>
      <c r="I105" s="113">
        <f>I104*0.04</f>
        <v>17.080000000000002</v>
      </c>
      <c r="J105" s="114"/>
      <c r="K105" s="113">
        <f>K104*0.04</f>
        <v>7.3476</v>
      </c>
      <c r="L105" s="114"/>
      <c r="M105" s="113">
        <f>M104*0.04</f>
        <v>29</v>
      </c>
      <c r="N105" s="114"/>
      <c r="O105" s="113">
        <f>O104*0.04</f>
        <v>39.44</v>
      </c>
      <c r="P105" s="114"/>
      <c r="Q105" s="113">
        <f>Q104*0.04</f>
        <v>0.05124</v>
      </c>
      <c r="R105" s="114"/>
      <c r="S105" s="89"/>
      <c r="T105" s="88"/>
    </row>
    <row r="106" ht="23.25" customHeight="1">
      <c r="A106" s="84" t="s">
        <v>116</v>
      </c>
    </row>
    <row r="107" spans="1:20" ht="16.5" customHeight="1">
      <c r="A107" s="85" t="s">
        <v>117</v>
      </c>
      <c r="B107" s="86"/>
      <c r="C107" s="86"/>
      <c r="D107" s="86"/>
      <c r="E107" s="87"/>
      <c r="F107" s="86" t="s">
        <v>118</v>
      </c>
      <c r="G107" s="86"/>
      <c r="H107" s="86"/>
      <c r="I107" s="86"/>
      <c r="J107" s="87"/>
      <c r="K107" s="86" t="s">
        <v>119</v>
      </c>
      <c r="L107" s="86"/>
      <c r="M107" s="86"/>
      <c r="N107" s="86"/>
      <c r="O107" s="87"/>
      <c r="P107" s="86" t="s">
        <v>120</v>
      </c>
      <c r="Q107" s="86"/>
      <c r="R107" s="86"/>
      <c r="S107" s="86"/>
      <c r="T107" s="87"/>
    </row>
    <row r="108" spans="1:20" ht="16.5" customHeight="1">
      <c r="A108" s="71">
        <v>12</v>
      </c>
      <c r="B108" s="72"/>
      <c r="C108" s="72"/>
      <c r="D108" s="72"/>
      <c r="E108" s="88"/>
      <c r="F108" s="72">
        <v>3.9</v>
      </c>
      <c r="G108" s="72"/>
      <c r="H108" s="72"/>
      <c r="I108" s="72"/>
      <c r="J108" s="88"/>
      <c r="K108" s="72" t="s">
        <v>121</v>
      </c>
      <c r="L108" s="72"/>
      <c r="M108" s="72"/>
      <c r="N108" s="72"/>
      <c r="O108" s="88"/>
      <c r="P108" s="89"/>
      <c r="Q108" s="72"/>
      <c r="R108" s="72"/>
      <c r="S108" s="72"/>
      <c r="T108" s="88"/>
    </row>
    <row r="109" ht="23.25" customHeight="1">
      <c r="A109" s="84" t="s">
        <v>128</v>
      </c>
    </row>
    <row r="110" ht="16.5" customHeight="1">
      <c r="B110" s="7" t="s">
        <v>122</v>
      </c>
    </row>
    <row r="111" spans="1:20" ht="16.5" customHeight="1">
      <c r="A111" s="85" t="s">
        <v>71</v>
      </c>
      <c r="B111" s="86"/>
      <c r="C111" s="86"/>
      <c r="D111" s="86"/>
      <c r="E111" s="87"/>
      <c r="F111" s="86" t="s">
        <v>72</v>
      </c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7"/>
      <c r="R111" s="86" t="s">
        <v>73</v>
      </c>
      <c r="S111" s="86"/>
      <c r="T111" s="87"/>
    </row>
    <row r="112" spans="1:20" ht="16.5" customHeight="1">
      <c r="A112" s="71" t="s">
        <v>129</v>
      </c>
      <c r="B112" s="72"/>
      <c r="C112" s="72"/>
      <c r="D112" s="86"/>
      <c r="E112" s="88"/>
      <c r="F112" s="89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88"/>
      <c r="R112" s="90">
        <f>R80</f>
        <v>43.5</v>
      </c>
      <c r="S112" s="72"/>
      <c r="T112" s="88"/>
    </row>
    <row r="113" spans="1:20" ht="16.5" customHeight="1">
      <c r="A113" s="71" t="s">
        <v>83</v>
      </c>
      <c r="B113" s="72"/>
      <c r="C113" s="72"/>
      <c r="D113" s="86"/>
      <c r="E113" s="88"/>
      <c r="F113" s="72" t="s">
        <v>124</v>
      </c>
      <c r="G113" s="92"/>
      <c r="H113" s="72"/>
      <c r="I113" s="72"/>
      <c r="J113" s="72"/>
      <c r="K113" s="72"/>
      <c r="L113" s="72"/>
      <c r="M113" s="72"/>
      <c r="N113" s="72"/>
      <c r="O113" s="72"/>
      <c r="P113" s="72"/>
      <c r="Q113" s="88"/>
      <c r="R113" s="92">
        <v>0</v>
      </c>
      <c r="S113" s="94"/>
      <c r="T113" s="95"/>
    </row>
    <row r="114" spans="1:20" ht="16.5" customHeight="1">
      <c r="A114" s="71" t="s">
        <v>78</v>
      </c>
      <c r="B114" s="72"/>
      <c r="C114" s="72"/>
      <c r="D114" s="86"/>
      <c r="E114" s="96"/>
      <c r="F114" s="72" t="s">
        <v>48</v>
      </c>
      <c r="G114" s="72">
        <f>G85</f>
        <v>4.5</v>
      </c>
      <c r="H114" s="72"/>
      <c r="I114" s="72" t="s">
        <v>75</v>
      </c>
      <c r="J114" s="72">
        <f>F108</f>
        <v>3.9</v>
      </c>
      <c r="K114" s="72"/>
      <c r="L114" s="72" t="s">
        <v>3</v>
      </c>
      <c r="M114" s="91" t="s">
        <v>28</v>
      </c>
      <c r="N114" s="72">
        <v>0.75</v>
      </c>
      <c r="O114" s="72"/>
      <c r="P114" s="72"/>
      <c r="Q114" s="77"/>
      <c r="R114" s="92">
        <f>ROUND((G114-J114)*N114,2)</f>
        <v>0.45</v>
      </c>
      <c r="S114" s="94"/>
      <c r="T114" s="95"/>
    </row>
    <row r="115" spans="1:20" ht="16.5" customHeight="1">
      <c r="A115" s="71" t="s">
        <v>81</v>
      </c>
      <c r="B115" s="72"/>
      <c r="C115" s="72"/>
      <c r="D115" s="86"/>
      <c r="E115" s="88"/>
      <c r="F115" s="116"/>
      <c r="G115" s="90">
        <f>R112</f>
        <v>43.5</v>
      </c>
      <c r="H115" s="72"/>
      <c r="I115" s="72" t="s">
        <v>44</v>
      </c>
      <c r="J115" s="92">
        <f>R113</f>
        <v>0</v>
      </c>
      <c r="K115" s="72"/>
      <c r="L115" s="72" t="s">
        <v>44</v>
      </c>
      <c r="M115" s="72"/>
      <c r="N115" s="92">
        <f>R114</f>
        <v>0.45</v>
      </c>
      <c r="O115" s="92"/>
      <c r="P115" s="117"/>
      <c r="Q115" s="77"/>
      <c r="R115" s="90">
        <f>ROUND(G115+J115+N115,2)</f>
        <v>43.95</v>
      </c>
      <c r="S115" s="94"/>
      <c r="T115" s="95"/>
    </row>
    <row r="116" ht="20.25" customHeight="1">
      <c r="B116" s="7" t="s">
        <v>125</v>
      </c>
    </row>
    <row r="117" spans="1:20" ht="16.5" customHeight="1">
      <c r="A117" s="85" t="s">
        <v>71</v>
      </c>
      <c r="B117" s="86"/>
      <c r="C117" s="86"/>
      <c r="D117" s="86"/>
      <c r="E117" s="87"/>
      <c r="F117" s="86" t="s">
        <v>72</v>
      </c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7"/>
      <c r="R117" s="86" t="s">
        <v>73</v>
      </c>
      <c r="S117" s="86"/>
      <c r="T117" s="87"/>
    </row>
    <row r="118" spans="1:20" ht="16.5" customHeight="1">
      <c r="A118" s="71" t="s">
        <v>129</v>
      </c>
      <c r="B118" s="72"/>
      <c r="C118" s="72"/>
      <c r="D118" s="86"/>
      <c r="E118" s="88"/>
      <c r="F118" s="89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88"/>
      <c r="R118" s="90">
        <f>R87</f>
        <v>183.69</v>
      </c>
      <c r="S118" s="72"/>
      <c r="T118" s="88"/>
    </row>
    <row r="119" spans="1:20" ht="16.5" customHeight="1">
      <c r="A119" s="71" t="s">
        <v>83</v>
      </c>
      <c r="B119" s="72"/>
      <c r="C119" s="72"/>
      <c r="D119" s="86"/>
      <c r="E119" s="88"/>
      <c r="F119" s="72" t="s">
        <v>48</v>
      </c>
      <c r="G119" s="94">
        <f>E105</f>
        <v>15</v>
      </c>
      <c r="H119" s="72" t="s">
        <v>75</v>
      </c>
      <c r="I119" s="90">
        <f>A108</f>
        <v>12</v>
      </c>
      <c r="J119" s="72" t="s">
        <v>3</v>
      </c>
      <c r="K119" s="91" t="s">
        <v>28</v>
      </c>
      <c r="L119" s="72">
        <v>-0.012</v>
      </c>
      <c r="M119" s="72"/>
      <c r="N119" s="91" t="s">
        <v>28</v>
      </c>
      <c r="O119" s="94">
        <f>R118</f>
        <v>183.69</v>
      </c>
      <c r="P119" s="72"/>
      <c r="Q119" s="100"/>
      <c r="R119" s="92">
        <f>ROUND((G119-I119)*L119*O119,2)</f>
        <v>-6.61</v>
      </c>
      <c r="S119" s="94"/>
      <c r="T119" s="95"/>
    </row>
    <row r="120" spans="1:20" ht="16.5" customHeight="1">
      <c r="A120" s="71" t="s">
        <v>78</v>
      </c>
      <c r="B120" s="72"/>
      <c r="C120" s="72"/>
      <c r="D120" s="86"/>
      <c r="E120" s="96"/>
      <c r="F120" s="72" t="s">
        <v>48</v>
      </c>
      <c r="G120" s="72">
        <f>G85</f>
        <v>4.5</v>
      </c>
      <c r="H120" s="72" t="s">
        <v>75</v>
      </c>
      <c r="I120" s="72">
        <f>F108</f>
        <v>3.9</v>
      </c>
      <c r="J120" s="72" t="s">
        <v>3</v>
      </c>
      <c r="K120" s="91" t="s">
        <v>28</v>
      </c>
      <c r="L120" s="72">
        <v>0.03</v>
      </c>
      <c r="M120" s="72"/>
      <c r="N120" s="91" t="s">
        <v>28</v>
      </c>
      <c r="O120" s="94">
        <f>R118</f>
        <v>183.69</v>
      </c>
      <c r="P120" s="72"/>
      <c r="Q120" s="77"/>
      <c r="R120" s="92">
        <f>ROUND((G120-I120)*L120*O120,2)</f>
        <v>3.31</v>
      </c>
      <c r="S120" s="94"/>
      <c r="T120" s="95"/>
    </row>
    <row r="121" spans="1:20" ht="16.5" customHeight="1">
      <c r="A121" s="71" t="s">
        <v>66</v>
      </c>
      <c r="B121" s="72"/>
      <c r="C121" s="72"/>
      <c r="D121" s="86"/>
      <c r="E121" s="96"/>
      <c r="F121" s="72" t="s">
        <v>48</v>
      </c>
      <c r="G121" s="90">
        <f>R115</f>
        <v>43.95</v>
      </c>
      <c r="H121" s="72"/>
      <c r="I121" s="72" t="s">
        <v>75</v>
      </c>
      <c r="J121" s="90">
        <f>G115</f>
        <v>43.5</v>
      </c>
      <c r="K121" s="72"/>
      <c r="L121" s="72" t="s">
        <v>3</v>
      </c>
      <c r="M121" s="72"/>
      <c r="N121" s="91" t="s">
        <v>28</v>
      </c>
      <c r="O121" s="72">
        <v>1.5</v>
      </c>
      <c r="P121" s="72"/>
      <c r="Q121" s="77"/>
      <c r="R121" s="92">
        <f>ROUND((G121-J121)*O121,2)</f>
        <v>0.68</v>
      </c>
      <c r="S121" s="94"/>
      <c r="T121" s="95"/>
    </row>
    <row r="122" spans="1:20" ht="16.5" customHeight="1">
      <c r="A122" s="71" t="s">
        <v>67</v>
      </c>
      <c r="B122" s="72"/>
      <c r="C122" s="72"/>
      <c r="D122" s="86"/>
      <c r="E122" s="88"/>
      <c r="F122" s="116"/>
      <c r="G122" s="90">
        <f>R118</f>
        <v>183.69</v>
      </c>
      <c r="H122" s="72"/>
      <c r="I122" s="72" t="s">
        <v>44</v>
      </c>
      <c r="J122" s="92">
        <f>R119</f>
        <v>-6.61</v>
      </c>
      <c r="K122" s="72"/>
      <c r="L122" s="72" t="s">
        <v>44</v>
      </c>
      <c r="M122" s="92">
        <f>R120</f>
        <v>3.31</v>
      </c>
      <c r="N122" s="72"/>
      <c r="O122" s="92" t="s">
        <v>44</v>
      </c>
      <c r="P122" s="92">
        <f>R121</f>
        <v>0.68</v>
      </c>
      <c r="Q122" s="118"/>
      <c r="R122" s="90">
        <f>ROUND(G122+J122+M122+P122,1)</f>
        <v>181.1</v>
      </c>
      <c r="S122" s="94"/>
      <c r="T122" s="95"/>
    </row>
    <row r="123" ht="23.25" customHeight="1">
      <c r="B123" s="84" t="s">
        <v>130</v>
      </c>
    </row>
    <row r="124" spans="1:18" ht="23.25" customHeight="1">
      <c r="A124" s="7" t="s">
        <v>85</v>
      </c>
      <c r="B124" s="7" t="s">
        <v>86</v>
      </c>
      <c r="F124" s="7" t="s">
        <v>34</v>
      </c>
      <c r="G124" s="7" t="s">
        <v>87</v>
      </c>
      <c r="L124" s="105">
        <f>C105</f>
        <v>43.1</v>
      </c>
      <c r="M124" s="84" t="s">
        <v>88</v>
      </c>
      <c r="O124" s="79">
        <f>R122</f>
        <v>181.1</v>
      </c>
      <c r="P124" s="83"/>
      <c r="Q124" s="7" t="s">
        <v>89</v>
      </c>
      <c r="R124" s="7" t="s">
        <v>90</v>
      </c>
    </row>
    <row r="125" spans="6:15" ht="23.25" customHeight="1">
      <c r="F125" s="7" t="s">
        <v>91</v>
      </c>
      <c r="G125" s="79">
        <f>O124</f>
        <v>181.1</v>
      </c>
      <c r="H125" s="78"/>
      <c r="I125" s="106" t="s">
        <v>76</v>
      </c>
      <c r="J125" s="107">
        <f>ROUND(L124/100,2)</f>
        <v>0.43</v>
      </c>
      <c r="K125" s="107"/>
      <c r="L125" s="7" t="s">
        <v>26</v>
      </c>
      <c r="M125" s="79">
        <f>ROUND(G125/J125,0)</f>
        <v>421</v>
      </c>
      <c r="N125" s="79"/>
      <c r="O125" s="7" t="s">
        <v>89</v>
      </c>
    </row>
    <row r="126" spans="1:15" ht="23.25" customHeight="1">
      <c r="A126" s="7" t="s">
        <v>85</v>
      </c>
      <c r="B126" s="7" t="s">
        <v>92</v>
      </c>
      <c r="F126" s="7" t="s">
        <v>91</v>
      </c>
      <c r="G126" s="79">
        <f>M125</f>
        <v>421</v>
      </c>
      <c r="H126" s="78"/>
      <c r="I126" s="106" t="s">
        <v>76</v>
      </c>
      <c r="J126" s="78">
        <f>J91</f>
        <v>3.05</v>
      </c>
      <c r="K126" s="78"/>
      <c r="L126" s="7" t="s">
        <v>26</v>
      </c>
      <c r="M126" s="79">
        <f>ROUND(G126/J126,0)</f>
        <v>138</v>
      </c>
      <c r="N126" s="79"/>
      <c r="O126" s="7" t="s">
        <v>93</v>
      </c>
    </row>
    <row r="127" spans="1:15" ht="23.25" customHeight="1">
      <c r="A127" s="7" t="s">
        <v>85</v>
      </c>
      <c r="B127" s="7" t="s">
        <v>94</v>
      </c>
      <c r="M127" s="78">
        <f>M92</f>
        <v>30</v>
      </c>
      <c r="N127" s="78"/>
      <c r="O127" s="7" t="s">
        <v>93</v>
      </c>
    </row>
    <row r="128" spans="1:20" ht="24.75" customHeight="1">
      <c r="A128" s="7" t="s">
        <v>85</v>
      </c>
      <c r="B128" s="7" t="s">
        <v>95</v>
      </c>
      <c r="F128" s="84" t="s">
        <v>96</v>
      </c>
      <c r="G128" s="7" t="s">
        <v>48</v>
      </c>
      <c r="H128" s="108">
        <f>M126/1000</f>
        <v>0.138</v>
      </c>
      <c r="I128" s="108"/>
      <c r="J128" s="108" t="s">
        <v>44</v>
      </c>
      <c r="K128" s="108">
        <f>O124/1000</f>
        <v>0.18109999999999998</v>
      </c>
      <c r="L128" s="108"/>
      <c r="M128" s="78" t="s">
        <v>44</v>
      </c>
      <c r="N128" s="78">
        <f>M127/1000</f>
        <v>0.03</v>
      </c>
      <c r="O128" s="78"/>
      <c r="P128" s="7" t="s">
        <v>3</v>
      </c>
      <c r="Q128" s="7" t="s">
        <v>26</v>
      </c>
      <c r="R128" s="108">
        <f>1-(H128+K128+N128)</f>
        <v>0.6509</v>
      </c>
      <c r="S128" s="107"/>
      <c r="T128" s="84" t="s">
        <v>97</v>
      </c>
    </row>
    <row r="129" spans="1:14" ht="22.5" customHeight="1">
      <c r="A129" s="7" t="s">
        <v>85</v>
      </c>
      <c r="B129" s="7" t="s">
        <v>98</v>
      </c>
      <c r="F129" s="108">
        <f>R128</f>
        <v>0.6509</v>
      </c>
      <c r="G129" s="78"/>
      <c r="H129" s="82" t="s">
        <v>28</v>
      </c>
      <c r="I129" s="108">
        <f>ROUND(R115/100,3)</f>
        <v>0.44</v>
      </c>
      <c r="J129" s="78"/>
      <c r="K129" s="78" t="s">
        <v>26</v>
      </c>
      <c r="L129" s="108">
        <f>ROUND(F129*I129,3)</f>
        <v>0.286</v>
      </c>
      <c r="M129" s="108"/>
      <c r="N129" s="84" t="s">
        <v>97</v>
      </c>
    </row>
    <row r="130" spans="1:14" ht="26.25" customHeight="1">
      <c r="A130" s="7" t="s">
        <v>85</v>
      </c>
      <c r="B130" s="7" t="s">
        <v>99</v>
      </c>
      <c r="F130" s="108">
        <f>R128</f>
        <v>0.6509</v>
      </c>
      <c r="G130" s="78"/>
      <c r="H130" s="78" t="s">
        <v>75</v>
      </c>
      <c r="I130" s="108">
        <f>L129</f>
        <v>0.286</v>
      </c>
      <c r="J130" s="78"/>
      <c r="K130" s="78" t="s">
        <v>26</v>
      </c>
      <c r="L130" s="108">
        <f>ROUND(F130-I130,3)</f>
        <v>0.365</v>
      </c>
      <c r="M130" s="78"/>
      <c r="N130" s="84" t="s">
        <v>97</v>
      </c>
    </row>
    <row r="131" spans="1:17" ht="27" customHeight="1">
      <c r="A131" s="7" t="s">
        <v>85</v>
      </c>
      <c r="B131" s="7" t="s">
        <v>100</v>
      </c>
      <c r="F131" s="108">
        <f>L129</f>
        <v>0.286</v>
      </c>
      <c r="G131" s="78"/>
      <c r="H131" s="82" t="s">
        <v>28</v>
      </c>
      <c r="I131" s="78">
        <f>I96</f>
        <v>2.58</v>
      </c>
      <c r="J131" s="78"/>
      <c r="K131" s="82" t="s">
        <v>28</v>
      </c>
      <c r="L131" s="78">
        <v>1000</v>
      </c>
      <c r="M131" s="78"/>
      <c r="N131" s="78" t="s">
        <v>26</v>
      </c>
      <c r="O131" s="79">
        <f>ROUND(F131*I131*L131,0)</f>
        <v>738</v>
      </c>
      <c r="P131" s="79"/>
      <c r="Q131" s="7" t="s">
        <v>89</v>
      </c>
    </row>
    <row r="132" spans="1:17" ht="23.25" customHeight="1">
      <c r="A132" s="7" t="s">
        <v>85</v>
      </c>
      <c r="B132" s="7" t="s">
        <v>101</v>
      </c>
      <c r="F132" s="108">
        <f>L130</f>
        <v>0.365</v>
      </c>
      <c r="G132" s="78"/>
      <c r="H132" s="82" t="s">
        <v>28</v>
      </c>
      <c r="I132" s="107">
        <f>I97</f>
        <v>2.7</v>
      </c>
      <c r="J132" s="78"/>
      <c r="K132" s="82" t="s">
        <v>28</v>
      </c>
      <c r="L132" s="78">
        <v>1000</v>
      </c>
      <c r="M132" s="78"/>
      <c r="N132" s="78" t="s">
        <v>26</v>
      </c>
      <c r="O132" s="79">
        <f>ROUND(F132*I132*L132,0)</f>
        <v>986</v>
      </c>
      <c r="P132" s="79"/>
      <c r="Q132" s="7" t="s">
        <v>89</v>
      </c>
    </row>
    <row r="133" spans="1:14" ht="23.25" customHeight="1">
      <c r="A133" s="7" t="s">
        <v>85</v>
      </c>
      <c r="B133" s="7" t="s">
        <v>102</v>
      </c>
      <c r="F133" s="79">
        <f>M125</f>
        <v>421</v>
      </c>
      <c r="G133" s="78"/>
      <c r="H133" s="82" t="s">
        <v>28</v>
      </c>
      <c r="I133" s="78">
        <f>I98</f>
        <v>0.003</v>
      </c>
      <c r="J133" s="78"/>
      <c r="K133" s="78" t="s">
        <v>26</v>
      </c>
      <c r="L133" s="107">
        <f>F133*I133</f>
        <v>1.2630000000000001</v>
      </c>
      <c r="M133" s="107"/>
      <c r="N133" s="7" t="s">
        <v>89</v>
      </c>
    </row>
    <row r="134" ht="16.5" customHeight="1">
      <c r="A134" s="84" t="s">
        <v>131</v>
      </c>
    </row>
    <row r="135" ht="14.25" customHeight="1">
      <c r="A135" s="84" t="s">
        <v>105</v>
      </c>
    </row>
    <row r="136" spans="1:20" ht="13.5" customHeight="1">
      <c r="A136" s="31" t="s">
        <v>106</v>
      </c>
      <c r="B136" s="109"/>
      <c r="C136" s="32" t="s">
        <v>47</v>
      </c>
      <c r="D136" s="109"/>
      <c r="E136" s="32" t="s">
        <v>107</v>
      </c>
      <c r="F136" s="109"/>
      <c r="G136" s="32" t="s">
        <v>66</v>
      </c>
      <c r="H136" s="109"/>
      <c r="I136" s="86" t="s">
        <v>108</v>
      </c>
      <c r="J136" s="86"/>
      <c r="K136" s="86"/>
      <c r="L136" s="86"/>
      <c r="M136" s="86"/>
      <c r="N136" s="86"/>
      <c r="O136" s="86"/>
      <c r="P136" s="86"/>
      <c r="Q136" s="86"/>
      <c r="R136" s="87"/>
      <c r="S136" s="32" t="s">
        <v>69</v>
      </c>
      <c r="T136" s="109"/>
    </row>
    <row r="137" spans="1:20" ht="15" customHeight="1">
      <c r="A137" s="71"/>
      <c r="B137" s="88"/>
      <c r="C137" s="72" t="s">
        <v>109</v>
      </c>
      <c r="D137" s="88"/>
      <c r="E137" s="89"/>
      <c r="F137" s="88"/>
      <c r="G137" s="72" t="s">
        <v>110</v>
      </c>
      <c r="H137" s="88"/>
      <c r="I137" s="72" t="s">
        <v>111</v>
      </c>
      <c r="J137" s="88"/>
      <c r="K137" s="72" t="s">
        <v>67</v>
      </c>
      <c r="L137" s="88"/>
      <c r="M137" s="72" t="s">
        <v>112</v>
      </c>
      <c r="N137" s="88"/>
      <c r="O137" s="72" t="s">
        <v>113</v>
      </c>
      <c r="P137" s="88"/>
      <c r="Q137" s="72" t="s">
        <v>114</v>
      </c>
      <c r="R137" s="88"/>
      <c r="S137" s="89"/>
      <c r="T137" s="88"/>
    </row>
    <row r="138" spans="1:20" ht="16.5" customHeight="1">
      <c r="A138" s="71">
        <v>1</v>
      </c>
      <c r="B138" s="110" t="s">
        <v>97</v>
      </c>
      <c r="C138" s="111"/>
      <c r="D138" s="112"/>
      <c r="E138" s="51"/>
      <c r="F138" s="112"/>
      <c r="G138" s="51"/>
      <c r="H138" s="112"/>
      <c r="I138" s="94">
        <f>M125</f>
        <v>421</v>
      </c>
      <c r="J138" s="88"/>
      <c r="K138" s="94">
        <f>O124</f>
        <v>181.1</v>
      </c>
      <c r="L138" s="88"/>
      <c r="M138" s="94">
        <f>O131</f>
        <v>738</v>
      </c>
      <c r="N138" s="88"/>
      <c r="O138" s="94">
        <f>O132</f>
        <v>986</v>
      </c>
      <c r="P138" s="88"/>
      <c r="Q138" s="92">
        <f>L133</f>
        <v>1.2630000000000001</v>
      </c>
      <c r="R138" s="88"/>
      <c r="S138" s="111"/>
      <c r="T138" s="112"/>
    </row>
    <row r="139" spans="1:20" ht="16.5" customHeight="1">
      <c r="A139" s="71" t="s">
        <v>115</v>
      </c>
      <c r="B139" s="88"/>
      <c r="C139" s="94">
        <f>L124</f>
        <v>43.1</v>
      </c>
      <c r="D139" s="88"/>
      <c r="E139" s="72">
        <f>E105</f>
        <v>15</v>
      </c>
      <c r="F139" s="88"/>
      <c r="G139" s="90">
        <f>R115</f>
        <v>43.95</v>
      </c>
      <c r="H139" s="88"/>
      <c r="I139" s="113">
        <f>I138*0.04</f>
        <v>16.84</v>
      </c>
      <c r="J139" s="114"/>
      <c r="K139" s="113">
        <f>K138*0.04</f>
        <v>7.244</v>
      </c>
      <c r="L139" s="114"/>
      <c r="M139" s="113">
        <f>M138*0.04</f>
        <v>29.52</v>
      </c>
      <c r="N139" s="114"/>
      <c r="O139" s="113">
        <f>O138*0.04</f>
        <v>39.44</v>
      </c>
      <c r="P139" s="114"/>
      <c r="Q139" s="113">
        <f>Q138*0.04</f>
        <v>0.05052000000000001</v>
      </c>
      <c r="R139" s="114"/>
      <c r="S139" s="89"/>
      <c r="T139" s="88"/>
    </row>
    <row r="140" ht="18.75" customHeight="1">
      <c r="A140" s="84" t="s">
        <v>116</v>
      </c>
    </row>
    <row r="141" spans="1:20" ht="16.5" customHeight="1">
      <c r="A141" s="85" t="s">
        <v>117</v>
      </c>
      <c r="B141" s="86"/>
      <c r="C141" s="86"/>
      <c r="D141" s="86"/>
      <c r="E141" s="87"/>
      <c r="F141" s="86" t="s">
        <v>118</v>
      </c>
      <c r="G141" s="86"/>
      <c r="H141" s="86"/>
      <c r="I141" s="86"/>
      <c r="J141" s="87"/>
      <c r="K141" s="86" t="s">
        <v>119</v>
      </c>
      <c r="L141" s="86"/>
      <c r="M141" s="86"/>
      <c r="N141" s="86"/>
      <c r="O141" s="87"/>
      <c r="P141" s="86" t="s">
        <v>120</v>
      </c>
      <c r="Q141" s="86"/>
      <c r="R141" s="86"/>
      <c r="S141" s="86"/>
      <c r="T141" s="87"/>
    </row>
    <row r="142" spans="1:20" ht="16.5" customHeight="1">
      <c r="A142" s="71">
        <v>15</v>
      </c>
      <c r="B142" s="72"/>
      <c r="C142" s="72"/>
      <c r="D142" s="72"/>
      <c r="E142" s="88"/>
      <c r="F142" s="72">
        <v>4.5</v>
      </c>
      <c r="G142" s="72"/>
      <c r="H142" s="72"/>
      <c r="I142" s="72"/>
      <c r="J142" s="88"/>
      <c r="K142" s="72" t="s">
        <v>132</v>
      </c>
      <c r="L142" s="72"/>
      <c r="M142" s="72"/>
      <c r="N142" s="72"/>
      <c r="O142" s="88"/>
      <c r="P142" s="89"/>
      <c r="Q142" s="72"/>
      <c r="R142" s="72"/>
      <c r="S142" s="72"/>
      <c r="T142" s="88"/>
    </row>
    <row r="143" ht="3" customHeight="1"/>
    <row r="144" ht="17.25" customHeight="1">
      <c r="A144" s="7" t="s">
        <v>197</v>
      </c>
    </row>
    <row r="145" ht="14.25" customHeight="1">
      <c r="B145" s="7" t="s">
        <v>133</v>
      </c>
    </row>
    <row r="146" ht="16.5" customHeight="1">
      <c r="A146" s="7" t="s">
        <v>134</v>
      </c>
    </row>
    <row r="147" spans="1:16" ht="16.5" customHeight="1">
      <c r="A147" s="7" t="s">
        <v>85</v>
      </c>
      <c r="B147" s="78" t="s">
        <v>135</v>
      </c>
      <c r="C147" s="78"/>
      <c r="D147" s="78"/>
      <c r="E147" s="79">
        <f>C139-5</f>
        <v>38.1</v>
      </c>
      <c r="F147" s="119" t="s">
        <v>11</v>
      </c>
      <c r="G147" s="78"/>
      <c r="H147" s="78" t="s">
        <v>136</v>
      </c>
      <c r="I147" s="78"/>
      <c r="J147" s="83">
        <f>G139</f>
        <v>43.95</v>
      </c>
      <c r="K147" s="78" t="s">
        <v>11</v>
      </c>
      <c r="L147" s="78"/>
      <c r="M147" s="78" t="s">
        <v>137</v>
      </c>
      <c r="N147" s="79">
        <f>K138</f>
        <v>181.1</v>
      </c>
      <c r="O147" s="78"/>
      <c r="P147" s="7" t="s">
        <v>89</v>
      </c>
    </row>
    <row r="148" spans="6:15" ht="15.75" customHeight="1">
      <c r="F148" s="7" t="s">
        <v>91</v>
      </c>
      <c r="G148" s="79">
        <f>N147</f>
        <v>181.1</v>
      </c>
      <c r="H148" s="78"/>
      <c r="I148" s="106" t="s">
        <v>76</v>
      </c>
      <c r="J148" s="107">
        <f>ROUND(E147/100,2)</f>
        <v>0.38</v>
      </c>
      <c r="K148" s="107"/>
      <c r="L148" s="7" t="s">
        <v>26</v>
      </c>
      <c r="M148" s="79">
        <f>ROUND(G148/J148,0)</f>
        <v>477</v>
      </c>
      <c r="N148" s="79"/>
      <c r="O148" s="7" t="s">
        <v>89</v>
      </c>
    </row>
    <row r="149" spans="1:15" ht="15.75" customHeight="1">
      <c r="A149" s="7" t="s">
        <v>85</v>
      </c>
      <c r="B149" s="7" t="s">
        <v>92</v>
      </c>
      <c r="F149" s="7" t="s">
        <v>91</v>
      </c>
      <c r="G149" s="79">
        <f>M148</f>
        <v>477</v>
      </c>
      <c r="H149" s="78"/>
      <c r="I149" s="106" t="s">
        <v>76</v>
      </c>
      <c r="J149" s="78">
        <f>J126</f>
        <v>3.05</v>
      </c>
      <c r="K149" s="78"/>
      <c r="L149" s="7" t="s">
        <v>26</v>
      </c>
      <c r="M149" s="79">
        <f>ROUND(G149/J149,0)</f>
        <v>156</v>
      </c>
      <c r="N149" s="79"/>
      <c r="O149" s="7" t="s">
        <v>93</v>
      </c>
    </row>
    <row r="150" spans="1:15" ht="15.75" customHeight="1">
      <c r="A150" s="7" t="s">
        <v>85</v>
      </c>
      <c r="B150" s="7" t="s">
        <v>94</v>
      </c>
      <c r="M150" s="78">
        <f>M127</f>
        <v>30</v>
      </c>
      <c r="N150" s="78"/>
      <c r="O150" s="7" t="s">
        <v>93</v>
      </c>
    </row>
    <row r="151" spans="1:20" ht="15.75" customHeight="1">
      <c r="A151" s="7" t="s">
        <v>85</v>
      </c>
      <c r="B151" s="7" t="s">
        <v>95</v>
      </c>
      <c r="F151" s="84" t="s">
        <v>96</v>
      </c>
      <c r="G151" s="7" t="s">
        <v>48</v>
      </c>
      <c r="H151" s="108">
        <f>M149/1000</f>
        <v>0.156</v>
      </c>
      <c r="I151" s="108"/>
      <c r="J151" s="108" t="s">
        <v>44</v>
      </c>
      <c r="K151" s="108">
        <f>N147/1000</f>
        <v>0.18109999999999998</v>
      </c>
      <c r="L151" s="108"/>
      <c r="M151" s="78" t="s">
        <v>44</v>
      </c>
      <c r="N151" s="78">
        <f>M150/1000</f>
        <v>0.03</v>
      </c>
      <c r="O151" s="78"/>
      <c r="P151" s="7" t="s">
        <v>3</v>
      </c>
      <c r="Q151" s="7" t="s">
        <v>26</v>
      </c>
      <c r="R151" s="108">
        <f>1-(H151+K151+N151)</f>
        <v>0.6329</v>
      </c>
      <c r="S151" s="107"/>
      <c r="T151" s="84" t="s">
        <v>97</v>
      </c>
    </row>
    <row r="152" spans="1:14" ht="16.5" customHeight="1">
      <c r="A152" s="7" t="s">
        <v>85</v>
      </c>
      <c r="B152" s="7" t="s">
        <v>98</v>
      </c>
      <c r="F152" s="108">
        <f>R151</f>
        <v>0.6329</v>
      </c>
      <c r="G152" s="78"/>
      <c r="H152" s="82" t="s">
        <v>28</v>
      </c>
      <c r="I152" s="108">
        <f>ROUND(J147/100,3)</f>
        <v>0.44</v>
      </c>
      <c r="J152" s="78"/>
      <c r="K152" s="78" t="s">
        <v>26</v>
      </c>
      <c r="L152" s="108">
        <f>ROUND(F152*I152,3)</f>
        <v>0.278</v>
      </c>
      <c r="M152" s="108"/>
      <c r="N152" s="84" t="s">
        <v>97</v>
      </c>
    </row>
    <row r="153" spans="1:14" ht="16.5" customHeight="1">
      <c r="A153" s="7" t="s">
        <v>85</v>
      </c>
      <c r="B153" s="7" t="s">
        <v>99</v>
      </c>
      <c r="F153" s="108">
        <f>R151</f>
        <v>0.6329</v>
      </c>
      <c r="G153" s="78"/>
      <c r="H153" s="78" t="s">
        <v>75</v>
      </c>
      <c r="I153" s="108">
        <f>L152</f>
        <v>0.278</v>
      </c>
      <c r="J153" s="78"/>
      <c r="K153" s="78" t="s">
        <v>26</v>
      </c>
      <c r="L153" s="108">
        <f>ROUND(F153-I153,3)</f>
        <v>0.355</v>
      </c>
      <c r="M153" s="78"/>
      <c r="N153" s="84" t="s">
        <v>97</v>
      </c>
    </row>
    <row r="154" spans="1:17" ht="16.5" customHeight="1">
      <c r="A154" s="7" t="s">
        <v>85</v>
      </c>
      <c r="B154" s="7" t="s">
        <v>100</v>
      </c>
      <c r="F154" s="108">
        <f>L152</f>
        <v>0.278</v>
      </c>
      <c r="G154" s="78"/>
      <c r="H154" s="82" t="s">
        <v>28</v>
      </c>
      <c r="I154" s="78">
        <f>I131</f>
        <v>2.58</v>
      </c>
      <c r="J154" s="78"/>
      <c r="K154" s="82" t="s">
        <v>28</v>
      </c>
      <c r="L154" s="78">
        <v>1000</v>
      </c>
      <c r="M154" s="78"/>
      <c r="N154" s="78" t="s">
        <v>26</v>
      </c>
      <c r="O154" s="79">
        <f>ROUND(F154*I154*L154,0)</f>
        <v>717</v>
      </c>
      <c r="P154" s="79"/>
      <c r="Q154" s="7" t="s">
        <v>89</v>
      </c>
    </row>
    <row r="155" spans="1:17" ht="16.5" customHeight="1">
      <c r="A155" s="7" t="s">
        <v>85</v>
      </c>
      <c r="B155" s="7" t="s">
        <v>101</v>
      </c>
      <c r="F155" s="108">
        <f>L153</f>
        <v>0.355</v>
      </c>
      <c r="G155" s="78"/>
      <c r="H155" s="82" t="s">
        <v>28</v>
      </c>
      <c r="I155" s="107">
        <f>I132</f>
        <v>2.7</v>
      </c>
      <c r="J155" s="78"/>
      <c r="K155" s="82" t="s">
        <v>28</v>
      </c>
      <c r="L155" s="78">
        <v>1000</v>
      </c>
      <c r="M155" s="78"/>
      <c r="N155" s="78" t="s">
        <v>26</v>
      </c>
      <c r="O155" s="79">
        <f>ROUND(F155*I155*L155,0)</f>
        <v>959</v>
      </c>
      <c r="P155" s="79"/>
      <c r="Q155" s="7" t="s">
        <v>89</v>
      </c>
    </row>
    <row r="156" spans="1:14" ht="16.5" customHeight="1">
      <c r="A156" s="7" t="s">
        <v>85</v>
      </c>
      <c r="B156" s="7" t="s">
        <v>102</v>
      </c>
      <c r="F156" s="79">
        <f>M148</f>
        <v>477</v>
      </c>
      <c r="G156" s="78"/>
      <c r="H156" s="82" t="s">
        <v>28</v>
      </c>
      <c r="I156" s="78">
        <f>I133</f>
        <v>0.003</v>
      </c>
      <c r="J156" s="78"/>
      <c r="K156" s="78" t="s">
        <v>26</v>
      </c>
      <c r="L156" s="107">
        <f>F156*I156</f>
        <v>1.431</v>
      </c>
      <c r="M156" s="107"/>
      <c r="N156" s="7" t="s">
        <v>89</v>
      </c>
    </row>
    <row r="157" ht="16.5" customHeight="1">
      <c r="A157" s="7" t="s">
        <v>138</v>
      </c>
    </row>
    <row r="158" spans="1:16" ht="16.5" customHeight="1">
      <c r="A158" s="7" t="s">
        <v>85</v>
      </c>
      <c r="B158" s="78" t="s">
        <v>135</v>
      </c>
      <c r="C158" s="78"/>
      <c r="D158" s="78"/>
      <c r="E158" s="79">
        <f>C139</f>
        <v>43.1</v>
      </c>
      <c r="F158" s="119" t="s">
        <v>11</v>
      </c>
      <c r="G158" s="78"/>
      <c r="H158" s="78" t="s">
        <v>136</v>
      </c>
      <c r="I158" s="78"/>
      <c r="J158" s="83">
        <f>G139</f>
        <v>43.95</v>
      </c>
      <c r="K158" s="78" t="s">
        <v>11</v>
      </c>
      <c r="L158" s="78"/>
      <c r="M158" s="78" t="s">
        <v>137</v>
      </c>
      <c r="N158" s="79">
        <f>K138</f>
        <v>181.1</v>
      </c>
      <c r="O158" s="78"/>
      <c r="P158" s="7" t="s">
        <v>89</v>
      </c>
    </row>
    <row r="159" spans="6:15" ht="18" customHeight="1">
      <c r="F159" s="7" t="s">
        <v>91</v>
      </c>
      <c r="G159" s="79">
        <f>N158</f>
        <v>181.1</v>
      </c>
      <c r="H159" s="78"/>
      <c r="I159" s="106" t="s">
        <v>76</v>
      </c>
      <c r="J159" s="107">
        <f>ROUND(E158/100,2)</f>
        <v>0.43</v>
      </c>
      <c r="K159" s="107"/>
      <c r="L159" s="7" t="s">
        <v>26</v>
      </c>
      <c r="M159" s="79">
        <f>ROUND(G159/J159,0)</f>
        <v>421</v>
      </c>
      <c r="N159" s="79"/>
      <c r="O159" s="7" t="s">
        <v>89</v>
      </c>
    </row>
    <row r="160" spans="1:15" ht="18" customHeight="1">
      <c r="A160" s="7" t="s">
        <v>85</v>
      </c>
      <c r="B160" s="7" t="s">
        <v>92</v>
      </c>
      <c r="F160" s="7" t="s">
        <v>91</v>
      </c>
      <c r="G160" s="79">
        <f>M159</f>
        <v>421</v>
      </c>
      <c r="H160" s="78"/>
      <c r="I160" s="106" t="s">
        <v>76</v>
      </c>
      <c r="J160" s="78">
        <f>J149</f>
        <v>3.05</v>
      </c>
      <c r="K160" s="78"/>
      <c r="L160" s="7" t="s">
        <v>26</v>
      </c>
      <c r="M160" s="79">
        <f>ROUND(G160/J160,0)</f>
        <v>138</v>
      </c>
      <c r="N160" s="79"/>
      <c r="O160" s="7" t="s">
        <v>93</v>
      </c>
    </row>
    <row r="161" spans="1:15" ht="18" customHeight="1">
      <c r="A161" s="7" t="s">
        <v>85</v>
      </c>
      <c r="B161" s="7" t="s">
        <v>94</v>
      </c>
      <c r="M161" s="78">
        <f>M150</f>
        <v>30</v>
      </c>
      <c r="N161" s="78"/>
      <c r="O161" s="7" t="s">
        <v>93</v>
      </c>
    </row>
    <row r="162" spans="1:20" ht="18" customHeight="1">
      <c r="A162" s="7" t="s">
        <v>85</v>
      </c>
      <c r="B162" s="7" t="s">
        <v>95</v>
      </c>
      <c r="F162" s="84" t="s">
        <v>96</v>
      </c>
      <c r="G162" s="7" t="s">
        <v>48</v>
      </c>
      <c r="H162" s="108">
        <f>M160/1000</f>
        <v>0.138</v>
      </c>
      <c r="I162" s="108"/>
      <c r="J162" s="108" t="s">
        <v>44</v>
      </c>
      <c r="K162" s="108">
        <f>N158/1000</f>
        <v>0.18109999999999998</v>
      </c>
      <c r="L162" s="108"/>
      <c r="M162" s="78" t="s">
        <v>44</v>
      </c>
      <c r="N162" s="78">
        <f>M161/1000</f>
        <v>0.03</v>
      </c>
      <c r="O162" s="78"/>
      <c r="P162" s="7" t="s">
        <v>3</v>
      </c>
      <c r="Q162" s="7" t="s">
        <v>26</v>
      </c>
      <c r="R162" s="108">
        <f>1-(H162+K162+N162)</f>
        <v>0.6509</v>
      </c>
      <c r="S162" s="107"/>
      <c r="T162" s="84" t="s">
        <v>97</v>
      </c>
    </row>
    <row r="163" spans="1:14" ht="18" customHeight="1">
      <c r="A163" s="7" t="s">
        <v>85</v>
      </c>
      <c r="B163" s="7" t="s">
        <v>98</v>
      </c>
      <c r="F163" s="108">
        <f>R162</f>
        <v>0.6509</v>
      </c>
      <c r="G163" s="78"/>
      <c r="H163" s="82" t="s">
        <v>28</v>
      </c>
      <c r="I163" s="108">
        <f>ROUND(J158/100,3)</f>
        <v>0.44</v>
      </c>
      <c r="J163" s="78"/>
      <c r="K163" s="78" t="s">
        <v>26</v>
      </c>
      <c r="L163" s="108">
        <f>ROUND(F163*I163,3)</f>
        <v>0.286</v>
      </c>
      <c r="M163" s="108"/>
      <c r="N163" s="84" t="s">
        <v>97</v>
      </c>
    </row>
    <row r="164" spans="1:14" ht="18" customHeight="1">
      <c r="A164" s="7" t="s">
        <v>85</v>
      </c>
      <c r="B164" s="7" t="s">
        <v>99</v>
      </c>
      <c r="F164" s="108">
        <f>R162</f>
        <v>0.6509</v>
      </c>
      <c r="G164" s="78"/>
      <c r="H164" s="78" t="s">
        <v>75</v>
      </c>
      <c r="I164" s="108">
        <f>L163</f>
        <v>0.286</v>
      </c>
      <c r="J164" s="78"/>
      <c r="K164" s="78" t="s">
        <v>26</v>
      </c>
      <c r="L164" s="108">
        <f>ROUND(F164-I164,3)</f>
        <v>0.365</v>
      </c>
      <c r="M164" s="78"/>
      <c r="N164" s="84" t="s">
        <v>97</v>
      </c>
    </row>
    <row r="165" spans="1:17" ht="18" customHeight="1">
      <c r="A165" s="7" t="s">
        <v>85</v>
      </c>
      <c r="B165" s="7" t="s">
        <v>100</v>
      </c>
      <c r="F165" s="108">
        <f>L163</f>
        <v>0.286</v>
      </c>
      <c r="G165" s="78"/>
      <c r="H165" s="82" t="s">
        <v>28</v>
      </c>
      <c r="I165" s="78">
        <f>I154</f>
        <v>2.58</v>
      </c>
      <c r="J165" s="78"/>
      <c r="K165" s="82" t="s">
        <v>28</v>
      </c>
      <c r="L165" s="78">
        <v>1000</v>
      </c>
      <c r="M165" s="78"/>
      <c r="N165" s="78" t="s">
        <v>26</v>
      </c>
      <c r="O165" s="79">
        <f>ROUND(F165*I165*L165,0)</f>
        <v>738</v>
      </c>
      <c r="P165" s="79"/>
      <c r="Q165" s="7" t="s">
        <v>89</v>
      </c>
    </row>
    <row r="166" spans="1:17" ht="18" customHeight="1">
      <c r="A166" s="7" t="s">
        <v>85</v>
      </c>
      <c r="B166" s="7" t="s">
        <v>101</v>
      </c>
      <c r="F166" s="108">
        <f>L164</f>
        <v>0.365</v>
      </c>
      <c r="G166" s="78"/>
      <c r="H166" s="82" t="s">
        <v>28</v>
      </c>
      <c r="I166" s="107">
        <f>I155</f>
        <v>2.7</v>
      </c>
      <c r="J166" s="78"/>
      <c r="K166" s="82" t="s">
        <v>28</v>
      </c>
      <c r="L166" s="78">
        <v>1000</v>
      </c>
      <c r="M166" s="78"/>
      <c r="N166" s="78" t="s">
        <v>26</v>
      </c>
      <c r="O166" s="79">
        <f>ROUND(F166*I166*L166,0)</f>
        <v>986</v>
      </c>
      <c r="P166" s="79"/>
      <c r="Q166" s="7" t="s">
        <v>89</v>
      </c>
    </row>
    <row r="167" spans="1:14" ht="18" customHeight="1">
      <c r="A167" s="7" t="s">
        <v>85</v>
      </c>
      <c r="B167" s="7" t="s">
        <v>102</v>
      </c>
      <c r="F167" s="79">
        <f>M159</f>
        <v>421</v>
      </c>
      <c r="G167" s="78"/>
      <c r="H167" s="82" t="s">
        <v>28</v>
      </c>
      <c r="I167" s="78">
        <f>I156</f>
        <v>0.003</v>
      </c>
      <c r="J167" s="78"/>
      <c r="K167" s="78" t="s">
        <v>26</v>
      </c>
      <c r="L167" s="107">
        <f>F167*I167</f>
        <v>1.2630000000000001</v>
      </c>
      <c r="M167" s="107"/>
      <c r="N167" s="7" t="s">
        <v>89</v>
      </c>
    </row>
    <row r="168" ht="21" customHeight="1">
      <c r="A168" s="84" t="s">
        <v>139</v>
      </c>
    </row>
    <row r="169" spans="1:16" ht="20.25" customHeight="1">
      <c r="A169" s="7" t="s">
        <v>85</v>
      </c>
      <c r="B169" s="78" t="s">
        <v>135</v>
      </c>
      <c r="C169" s="78"/>
      <c r="D169" s="78"/>
      <c r="E169" s="79">
        <f>C139+5</f>
        <v>48.1</v>
      </c>
      <c r="F169" s="119" t="s">
        <v>11</v>
      </c>
      <c r="G169" s="78"/>
      <c r="H169" s="78" t="s">
        <v>136</v>
      </c>
      <c r="I169" s="78"/>
      <c r="J169" s="83">
        <f>J158</f>
        <v>43.95</v>
      </c>
      <c r="K169" s="78" t="s">
        <v>11</v>
      </c>
      <c r="L169" s="78"/>
      <c r="M169" s="78" t="s">
        <v>137</v>
      </c>
      <c r="N169" s="79">
        <f>N158</f>
        <v>181.1</v>
      </c>
      <c r="O169" s="78"/>
      <c r="P169" s="7" t="s">
        <v>89</v>
      </c>
    </row>
    <row r="170" spans="6:15" ht="16.5" customHeight="1">
      <c r="F170" s="7" t="s">
        <v>91</v>
      </c>
      <c r="G170" s="79">
        <f>N169</f>
        <v>181.1</v>
      </c>
      <c r="H170" s="78"/>
      <c r="I170" s="106" t="s">
        <v>76</v>
      </c>
      <c r="J170" s="107">
        <f>ROUND(E169/100,2)</f>
        <v>0.48</v>
      </c>
      <c r="K170" s="107"/>
      <c r="L170" s="7" t="s">
        <v>26</v>
      </c>
      <c r="M170" s="79">
        <f>ROUND(G170/J170,0)</f>
        <v>377</v>
      </c>
      <c r="N170" s="79"/>
      <c r="O170" s="7" t="s">
        <v>89</v>
      </c>
    </row>
    <row r="171" spans="1:15" ht="16.5" customHeight="1">
      <c r="A171" s="7" t="s">
        <v>85</v>
      </c>
      <c r="B171" s="7" t="s">
        <v>92</v>
      </c>
      <c r="F171" s="7" t="s">
        <v>91</v>
      </c>
      <c r="G171" s="79">
        <f>M170</f>
        <v>377</v>
      </c>
      <c r="H171" s="78"/>
      <c r="I171" s="106" t="s">
        <v>76</v>
      </c>
      <c r="J171" s="78">
        <f>J160</f>
        <v>3.05</v>
      </c>
      <c r="K171" s="78"/>
      <c r="L171" s="7" t="s">
        <v>26</v>
      </c>
      <c r="M171" s="79">
        <f>ROUND(G171/J171,0)</f>
        <v>124</v>
      </c>
      <c r="N171" s="79"/>
      <c r="O171" s="7" t="s">
        <v>93</v>
      </c>
    </row>
    <row r="172" spans="1:15" ht="17.25" customHeight="1">
      <c r="A172" s="7" t="s">
        <v>85</v>
      </c>
      <c r="B172" s="7" t="s">
        <v>94</v>
      </c>
      <c r="M172" s="78">
        <f>M161</f>
        <v>30</v>
      </c>
      <c r="N172" s="78"/>
      <c r="O172" s="7" t="s">
        <v>93</v>
      </c>
    </row>
    <row r="173" spans="1:20" ht="17.25" customHeight="1">
      <c r="A173" s="7" t="s">
        <v>85</v>
      </c>
      <c r="B173" s="7" t="s">
        <v>95</v>
      </c>
      <c r="F173" s="84" t="s">
        <v>96</v>
      </c>
      <c r="G173" s="7" t="s">
        <v>48</v>
      </c>
      <c r="H173" s="108">
        <f>M171/1000</f>
        <v>0.124</v>
      </c>
      <c r="I173" s="108"/>
      <c r="J173" s="108" t="s">
        <v>44</v>
      </c>
      <c r="K173" s="108">
        <f>N169/1000</f>
        <v>0.18109999999999998</v>
      </c>
      <c r="L173" s="108"/>
      <c r="M173" s="78" t="s">
        <v>44</v>
      </c>
      <c r="N173" s="78">
        <f>M172/1000</f>
        <v>0.03</v>
      </c>
      <c r="O173" s="78"/>
      <c r="P173" s="7" t="s">
        <v>3</v>
      </c>
      <c r="Q173" s="7" t="s">
        <v>26</v>
      </c>
      <c r="R173" s="108">
        <f>1-(H173+K173+N173)</f>
        <v>0.6649</v>
      </c>
      <c r="S173" s="107"/>
      <c r="T173" s="84" t="s">
        <v>97</v>
      </c>
    </row>
    <row r="174" spans="1:14" ht="17.25" customHeight="1">
      <c r="A174" s="7" t="s">
        <v>85</v>
      </c>
      <c r="B174" s="7" t="s">
        <v>98</v>
      </c>
      <c r="F174" s="108">
        <f>R173</f>
        <v>0.6649</v>
      </c>
      <c r="G174" s="78"/>
      <c r="H174" s="82" t="s">
        <v>28</v>
      </c>
      <c r="I174" s="108">
        <f>ROUND(J169/100,3)</f>
        <v>0.44</v>
      </c>
      <c r="J174" s="78"/>
      <c r="K174" s="78" t="s">
        <v>26</v>
      </c>
      <c r="L174" s="108">
        <f>ROUND(F174*I174,3)</f>
        <v>0.293</v>
      </c>
      <c r="M174" s="108"/>
      <c r="N174" s="84" t="s">
        <v>97</v>
      </c>
    </row>
    <row r="175" spans="1:14" ht="17.25" customHeight="1">
      <c r="A175" s="7" t="s">
        <v>85</v>
      </c>
      <c r="B175" s="7" t="s">
        <v>99</v>
      </c>
      <c r="F175" s="108">
        <f>R173</f>
        <v>0.6649</v>
      </c>
      <c r="G175" s="78"/>
      <c r="H175" s="78" t="s">
        <v>75</v>
      </c>
      <c r="I175" s="108">
        <f>L174</f>
        <v>0.293</v>
      </c>
      <c r="J175" s="78"/>
      <c r="K175" s="78" t="s">
        <v>26</v>
      </c>
      <c r="L175" s="108">
        <f>ROUND(F175-I175,3)</f>
        <v>0.372</v>
      </c>
      <c r="M175" s="78"/>
      <c r="N175" s="84" t="s">
        <v>97</v>
      </c>
    </row>
    <row r="176" spans="1:17" ht="17.25" customHeight="1">
      <c r="A176" s="7" t="s">
        <v>85</v>
      </c>
      <c r="B176" s="7" t="s">
        <v>100</v>
      </c>
      <c r="F176" s="108">
        <f>L174</f>
        <v>0.293</v>
      </c>
      <c r="G176" s="78"/>
      <c r="H176" s="82" t="s">
        <v>28</v>
      </c>
      <c r="I176" s="78">
        <f>I165</f>
        <v>2.58</v>
      </c>
      <c r="J176" s="78"/>
      <c r="K176" s="82" t="s">
        <v>28</v>
      </c>
      <c r="L176" s="78">
        <v>1000</v>
      </c>
      <c r="M176" s="78"/>
      <c r="N176" s="78" t="s">
        <v>26</v>
      </c>
      <c r="O176" s="79">
        <f>ROUND(F176*I176*L176,0)</f>
        <v>756</v>
      </c>
      <c r="P176" s="79"/>
      <c r="Q176" s="7" t="s">
        <v>89</v>
      </c>
    </row>
    <row r="177" spans="1:17" ht="17.25" customHeight="1">
      <c r="A177" s="7" t="s">
        <v>85</v>
      </c>
      <c r="B177" s="7" t="s">
        <v>101</v>
      </c>
      <c r="F177" s="108">
        <f>L175</f>
        <v>0.372</v>
      </c>
      <c r="G177" s="51"/>
      <c r="H177" s="82" t="s">
        <v>28</v>
      </c>
      <c r="I177" s="107">
        <f>I166</f>
        <v>2.7</v>
      </c>
      <c r="J177" s="78"/>
      <c r="K177" s="82" t="s">
        <v>28</v>
      </c>
      <c r="L177" s="78">
        <v>1000</v>
      </c>
      <c r="M177" s="78"/>
      <c r="N177" s="78" t="s">
        <v>26</v>
      </c>
      <c r="O177" s="79">
        <f>ROUND(F177*I177*L177,0)</f>
        <v>1004</v>
      </c>
      <c r="P177" s="79"/>
      <c r="Q177" s="7" t="s">
        <v>89</v>
      </c>
    </row>
    <row r="178" spans="1:14" ht="21" customHeight="1">
      <c r="A178" s="7" t="s">
        <v>85</v>
      </c>
      <c r="B178" s="7" t="s">
        <v>102</v>
      </c>
      <c r="F178" s="79">
        <f>M170</f>
        <v>377</v>
      </c>
      <c r="G178" s="78"/>
      <c r="H178" s="82" t="s">
        <v>28</v>
      </c>
      <c r="I178" s="78">
        <f>I167</f>
        <v>0.003</v>
      </c>
      <c r="J178" s="78"/>
      <c r="K178" s="78" t="s">
        <v>26</v>
      </c>
      <c r="L178" s="107">
        <f>F178*I178</f>
        <v>1.131</v>
      </c>
      <c r="M178" s="107"/>
      <c r="N178" s="7" t="s">
        <v>89</v>
      </c>
    </row>
    <row r="179" ht="21.75" customHeight="1">
      <c r="A179" s="7" t="s">
        <v>140</v>
      </c>
    </row>
    <row r="180" spans="1:20" ht="21" customHeight="1">
      <c r="A180" s="31" t="s">
        <v>106</v>
      </c>
      <c r="B180" s="109"/>
      <c r="C180" s="32" t="s">
        <v>47</v>
      </c>
      <c r="D180" s="109"/>
      <c r="E180" s="32" t="s">
        <v>81</v>
      </c>
      <c r="F180" s="109"/>
      <c r="G180" s="86" t="s">
        <v>108</v>
      </c>
      <c r="H180" s="86"/>
      <c r="I180" s="86"/>
      <c r="J180" s="86"/>
      <c r="K180" s="86"/>
      <c r="L180" s="86"/>
      <c r="M180" s="86"/>
      <c r="N180" s="86"/>
      <c r="O180" s="86"/>
      <c r="P180" s="87"/>
      <c r="Q180" s="120" t="s">
        <v>141</v>
      </c>
      <c r="R180" s="120"/>
      <c r="S180" s="120"/>
      <c r="T180" s="121"/>
    </row>
    <row r="181" spans="1:20" ht="24.75" customHeight="1">
      <c r="A181" s="71"/>
      <c r="B181" s="88"/>
      <c r="C181" s="72" t="s">
        <v>109</v>
      </c>
      <c r="D181" s="88"/>
      <c r="E181" s="72" t="s">
        <v>109</v>
      </c>
      <c r="F181" s="88"/>
      <c r="G181" s="72" t="s">
        <v>111</v>
      </c>
      <c r="H181" s="88"/>
      <c r="I181" s="72" t="s">
        <v>67</v>
      </c>
      <c r="J181" s="88"/>
      <c r="K181" s="72" t="s">
        <v>112</v>
      </c>
      <c r="L181" s="88"/>
      <c r="M181" s="72" t="s">
        <v>113</v>
      </c>
      <c r="N181" s="88"/>
      <c r="O181" s="72" t="s">
        <v>114</v>
      </c>
      <c r="P181" s="88"/>
      <c r="Q181" s="77" t="s">
        <v>142</v>
      </c>
      <c r="R181" s="77" t="s">
        <v>143</v>
      </c>
      <c r="S181" s="76" t="s">
        <v>144</v>
      </c>
      <c r="T181" s="77"/>
    </row>
    <row r="182" spans="1:20" ht="24.75" customHeight="1">
      <c r="A182" s="66" t="s">
        <v>145</v>
      </c>
      <c r="B182" s="112"/>
      <c r="C182" s="111"/>
      <c r="D182" s="112"/>
      <c r="E182" s="51"/>
      <c r="F182" s="112"/>
      <c r="G182" s="94">
        <f>M148</f>
        <v>477</v>
      </c>
      <c r="H182" s="88"/>
      <c r="I182" s="94">
        <f>N147</f>
        <v>181.1</v>
      </c>
      <c r="J182" s="88"/>
      <c r="K182" s="94">
        <f>O154</f>
        <v>717</v>
      </c>
      <c r="L182" s="88"/>
      <c r="M182" s="94">
        <f>O155</f>
        <v>959</v>
      </c>
      <c r="N182" s="88"/>
      <c r="O182" s="92">
        <f>L167</f>
        <v>1.2630000000000001</v>
      </c>
      <c r="P182" s="88"/>
      <c r="Q182" s="70"/>
      <c r="R182" s="70"/>
      <c r="S182" s="65"/>
      <c r="T182" s="70"/>
    </row>
    <row r="183" spans="1:22" ht="24.75" customHeight="1">
      <c r="A183" s="71"/>
      <c r="B183" s="88"/>
      <c r="C183" s="94">
        <f>E147</f>
        <v>38.1</v>
      </c>
      <c r="D183" s="88"/>
      <c r="E183" s="90">
        <f>J169</f>
        <v>43.95</v>
      </c>
      <c r="F183" s="88"/>
      <c r="G183" s="113">
        <f>G182*0.04</f>
        <v>19.080000000000002</v>
      </c>
      <c r="H183" s="114"/>
      <c r="I183" s="113">
        <f>I182*0.04</f>
        <v>7.244</v>
      </c>
      <c r="J183" s="114"/>
      <c r="K183" s="113">
        <f>K182*0.04</f>
        <v>28.68</v>
      </c>
      <c r="L183" s="114"/>
      <c r="M183" s="113">
        <f>M182*0.04</f>
        <v>38.36</v>
      </c>
      <c r="N183" s="114"/>
      <c r="O183" s="113">
        <f>O182*0.04</f>
        <v>0.05052000000000001</v>
      </c>
      <c r="P183" s="114"/>
      <c r="Q183" s="122">
        <v>15.5</v>
      </c>
      <c r="R183" s="122">
        <v>4.3</v>
      </c>
      <c r="S183" s="72">
        <v>319</v>
      </c>
      <c r="T183" s="88"/>
      <c r="V183" s="105">
        <f>I246</f>
        <v>404</v>
      </c>
    </row>
    <row r="184" spans="1:22" ht="24.75" customHeight="1">
      <c r="A184" s="66" t="s">
        <v>146</v>
      </c>
      <c r="B184" s="112"/>
      <c r="C184" s="111"/>
      <c r="D184" s="112"/>
      <c r="E184" s="51"/>
      <c r="F184" s="112"/>
      <c r="G184" s="94">
        <f>M159</f>
        <v>421</v>
      </c>
      <c r="H184" s="88"/>
      <c r="I184" s="94">
        <f>N158</f>
        <v>181.1</v>
      </c>
      <c r="J184" s="88"/>
      <c r="K184" s="94">
        <f>O165</f>
        <v>738</v>
      </c>
      <c r="L184" s="88"/>
      <c r="M184" s="94">
        <f>O166</f>
        <v>986</v>
      </c>
      <c r="N184" s="88"/>
      <c r="O184" s="92">
        <f>L167</f>
        <v>1.2630000000000001</v>
      </c>
      <c r="P184" s="88"/>
      <c r="Q184" s="123"/>
      <c r="R184" s="123"/>
      <c r="S184" s="65"/>
      <c r="T184" s="70"/>
      <c r="V184" s="137">
        <f>1/I210</f>
        <v>0.4484304932735426</v>
      </c>
    </row>
    <row r="185" spans="1:20" ht="24.75" customHeight="1">
      <c r="A185" s="71"/>
      <c r="B185" s="88"/>
      <c r="C185" s="94">
        <f>E158</f>
        <v>43.1</v>
      </c>
      <c r="D185" s="88"/>
      <c r="E185" s="90">
        <f>J169</f>
        <v>43.95</v>
      </c>
      <c r="F185" s="88"/>
      <c r="G185" s="113">
        <f>G184*0.04</f>
        <v>16.84</v>
      </c>
      <c r="H185" s="114"/>
      <c r="I185" s="113">
        <f>I184*0.04</f>
        <v>7.244</v>
      </c>
      <c r="J185" s="114"/>
      <c r="K185" s="113">
        <f>K184*0.04</f>
        <v>29.52</v>
      </c>
      <c r="L185" s="114"/>
      <c r="M185" s="113">
        <f>M184*0.04</f>
        <v>39.44</v>
      </c>
      <c r="N185" s="114"/>
      <c r="O185" s="113">
        <f>O184*0.04</f>
        <v>0.05052000000000001</v>
      </c>
      <c r="P185" s="114"/>
      <c r="Q185" s="122">
        <v>15</v>
      </c>
      <c r="R185" s="122">
        <v>4.4</v>
      </c>
      <c r="S185" s="72">
        <v>306</v>
      </c>
      <c r="T185" s="88"/>
    </row>
    <row r="186" spans="1:20" ht="24.75" customHeight="1">
      <c r="A186" s="66" t="s">
        <v>147</v>
      </c>
      <c r="B186" s="112"/>
      <c r="C186" s="111"/>
      <c r="D186" s="112"/>
      <c r="E186" s="51"/>
      <c r="F186" s="112"/>
      <c r="G186" s="94">
        <f>M170</f>
        <v>377</v>
      </c>
      <c r="H186" s="88"/>
      <c r="I186" s="94">
        <f>N169</f>
        <v>181.1</v>
      </c>
      <c r="J186" s="88"/>
      <c r="K186" s="94">
        <f>O176</f>
        <v>756</v>
      </c>
      <c r="L186" s="88"/>
      <c r="M186" s="94">
        <f>O177</f>
        <v>1004</v>
      </c>
      <c r="N186" s="88"/>
      <c r="O186" s="92">
        <f>L178</f>
        <v>1.131</v>
      </c>
      <c r="P186" s="88"/>
      <c r="Q186" s="123"/>
      <c r="R186" s="123"/>
      <c r="S186" s="65"/>
      <c r="T186" s="70"/>
    </row>
    <row r="187" spans="1:20" ht="24.75" customHeight="1">
      <c r="A187" s="71"/>
      <c r="B187" s="88"/>
      <c r="C187" s="94">
        <f>E169</f>
        <v>48.1</v>
      </c>
      <c r="D187" s="88"/>
      <c r="E187" s="90">
        <f>E185</f>
        <v>43.95</v>
      </c>
      <c r="F187" s="88"/>
      <c r="G187" s="113">
        <f>G186*0.04</f>
        <v>15.08</v>
      </c>
      <c r="H187" s="114"/>
      <c r="I187" s="113">
        <f>I186*0.04</f>
        <v>7.244</v>
      </c>
      <c r="J187" s="114"/>
      <c r="K187" s="113">
        <f>K186*0.04</f>
        <v>30.240000000000002</v>
      </c>
      <c r="L187" s="114"/>
      <c r="M187" s="113">
        <f>M186*0.04</f>
        <v>40.160000000000004</v>
      </c>
      <c r="N187" s="114"/>
      <c r="O187" s="113">
        <f>O186*0.04</f>
        <v>0.04524</v>
      </c>
      <c r="P187" s="114"/>
      <c r="Q187" s="125">
        <v>14.5</v>
      </c>
      <c r="R187" s="122">
        <v>4.3</v>
      </c>
      <c r="S187" s="72">
        <v>295</v>
      </c>
      <c r="T187" s="88"/>
    </row>
    <row r="188" ht="8.25" customHeight="1"/>
    <row r="189" ht="21.75" customHeight="1">
      <c r="A189" s="7" t="s">
        <v>148</v>
      </c>
    </row>
    <row r="190" spans="1:3" ht="21.75" customHeight="1">
      <c r="A190" s="7" t="s">
        <v>149</v>
      </c>
      <c r="B190" s="7" t="s">
        <v>75</v>
      </c>
      <c r="C190" s="7" t="s">
        <v>150</v>
      </c>
    </row>
    <row r="191" spans="3:9" ht="21.75" customHeight="1">
      <c r="C191" s="7" t="s">
        <v>151</v>
      </c>
      <c r="D191" s="7" t="s">
        <v>26</v>
      </c>
      <c r="E191" s="7" t="s">
        <v>152</v>
      </c>
      <c r="F191" s="7" t="s">
        <v>44</v>
      </c>
      <c r="G191" s="7" t="s">
        <v>153</v>
      </c>
      <c r="I191" s="84" t="s">
        <v>154</v>
      </c>
    </row>
    <row r="192" spans="2:3" ht="18" customHeight="1">
      <c r="B192" s="7" t="s">
        <v>75</v>
      </c>
      <c r="C192" s="7" t="s">
        <v>155</v>
      </c>
    </row>
    <row r="193" spans="1:20" ht="17.25" customHeight="1">
      <c r="A193" s="85" t="s">
        <v>156</v>
      </c>
      <c r="B193" s="87"/>
      <c r="C193" s="86" t="s">
        <v>157</v>
      </c>
      <c r="D193" s="86"/>
      <c r="E193" s="86"/>
      <c r="F193" s="87"/>
      <c r="G193" s="86" t="s">
        <v>151</v>
      </c>
      <c r="H193" s="86"/>
      <c r="I193" s="86"/>
      <c r="J193" s="86"/>
      <c r="K193" s="87"/>
      <c r="L193" s="86" t="s">
        <v>158</v>
      </c>
      <c r="M193" s="86"/>
      <c r="N193" s="86"/>
      <c r="O193" s="86"/>
      <c r="P193" s="87"/>
      <c r="Q193" s="86" t="s">
        <v>159</v>
      </c>
      <c r="R193" s="86"/>
      <c r="S193" s="86"/>
      <c r="T193" s="87"/>
    </row>
    <row r="194" spans="1:20" ht="17.25" customHeight="1">
      <c r="A194" s="71">
        <v>1</v>
      </c>
      <c r="B194" s="88"/>
      <c r="C194" s="113">
        <f>ROUND(1/C183*100,3)</f>
        <v>2.625</v>
      </c>
      <c r="D194" s="72"/>
      <c r="E194" s="72"/>
      <c r="F194" s="88"/>
      <c r="G194" s="72">
        <f>S183</f>
        <v>319</v>
      </c>
      <c r="H194" s="72"/>
      <c r="I194" s="72"/>
      <c r="J194" s="72"/>
      <c r="K194" s="88"/>
      <c r="L194" s="113">
        <f>ROUND(C194*C194,3)</f>
        <v>6.891</v>
      </c>
      <c r="M194" s="72"/>
      <c r="N194" s="72"/>
      <c r="O194" s="72"/>
      <c r="P194" s="88"/>
      <c r="Q194" s="113">
        <f>ROUND(C194*G194,3)</f>
        <v>837.375</v>
      </c>
      <c r="R194" s="72"/>
      <c r="S194" s="72"/>
      <c r="T194" s="88"/>
    </row>
    <row r="195" spans="1:20" ht="17.25" customHeight="1">
      <c r="A195" s="71">
        <v>2</v>
      </c>
      <c r="B195" s="88"/>
      <c r="C195" s="113">
        <f>ROUND(1/C185*100,3)</f>
        <v>2.32</v>
      </c>
      <c r="D195" s="72"/>
      <c r="E195" s="72"/>
      <c r="F195" s="88"/>
      <c r="G195" s="72">
        <f>S185</f>
        <v>306</v>
      </c>
      <c r="H195" s="72"/>
      <c r="I195" s="72"/>
      <c r="J195" s="72"/>
      <c r="K195" s="88"/>
      <c r="L195" s="113">
        <f>ROUND(C195*C195,3)</f>
        <v>5.382</v>
      </c>
      <c r="M195" s="72"/>
      <c r="N195" s="72"/>
      <c r="O195" s="72"/>
      <c r="P195" s="88"/>
      <c r="Q195" s="113">
        <f>ROUND(C195*G195,3)</f>
        <v>709.92</v>
      </c>
      <c r="R195" s="72"/>
      <c r="S195" s="72"/>
      <c r="T195" s="88"/>
    </row>
    <row r="196" spans="1:20" ht="17.25" customHeight="1">
      <c r="A196" s="71">
        <v>3</v>
      </c>
      <c r="B196" s="88"/>
      <c r="C196" s="113">
        <f>ROUND(1/C187*100,3)</f>
        <v>2.079</v>
      </c>
      <c r="D196" s="72"/>
      <c r="E196" s="72"/>
      <c r="F196" s="88"/>
      <c r="G196" s="72">
        <f>S187</f>
        <v>295</v>
      </c>
      <c r="H196" s="72"/>
      <c r="I196" s="72"/>
      <c r="J196" s="72"/>
      <c r="K196" s="88"/>
      <c r="L196" s="113">
        <f>ROUND(C196*C196,3)</f>
        <v>4.322</v>
      </c>
      <c r="M196" s="72"/>
      <c r="N196" s="72"/>
      <c r="O196" s="72"/>
      <c r="P196" s="88"/>
      <c r="Q196" s="113">
        <f>ROUND(C196*G196,3)</f>
        <v>613.305</v>
      </c>
      <c r="R196" s="72"/>
      <c r="S196" s="72"/>
      <c r="T196" s="88"/>
    </row>
    <row r="197" spans="1:20" ht="17.25" customHeight="1">
      <c r="A197" s="71" t="s">
        <v>160</v>
      </c>
      <c r="B197" s="88"/>
      <c r="C197" s="113">
        <f>SUM(C194:C196)</f>
        <v>7.024000000000001</v>
      </c>
      <c r="D197" s="72"/>
      <c r="E197" s="72"/>
      <c r="F197" s="88"/>
      <c r="G197" s="72">
        <f>SUM(G194:G196)</f>
        <v>920</v>
      </c>
      <c r="H197" s="72"/>
      <c r="I197" s="72"/>
      <c r="J197" s="72"/>
      <c r="K197" s="88"/>
      <c r="L197" s="113">
        <f>SUM(L194:L196)</f>
        <v>16.595</v>
      </c>
      <c r="M197" s="72"/>
      <c r="N197" s="72"/>
      <c r="O197" s="72"/>
      <c r="P197" s="88"/>
      <c r="Q197" s="113">
        <f>SUM(Q194:Q196)</f>
        <v>2160.6</v>
      </c>
      <c r="R197" s="72"/>
      <c r="S197" s="72"/>
      <c r="T197" s="88"/>
    </row>
    <row r="198" spans="2:16" ht="16.5" customHeight="1">
      <c r="B198" s="7" t="s">
        <v>75</v>
      </c>
      <c r="C198" s="7" t="s">
        <v>161</v>
      </c>
      <c r="P198" s="65"/>
    </row>
    <row r="199" ht="10.5" customHeight="1"/>
    <row r="200" spans="3:17" ht="16.5" customHeight="1">
      <c r="C200" s="7" t="s">
        <v>162</v>
      </c>
      <c r="E200" s="126" t="s">
        <v>163</v>
      </c>
      <c r="F200" s="76"/>
      <c r="G200" s="76"/>
      <c r="H200" s="126" t="s">
        <v>164</v>
      </c>
      <c r="I200" s="76"/>
      <c r="J200" s="127" t="s">
        <v>26</v>
      </c>
      <c r="L200" s="72">
        <f>ROUND((L197*G197-C197*Q197),3)</f>
        <v>91.346</v>
      </c>
      <c r="M200" s="72"/>
      <c r="O200" s="7" t="s">
        <v>26</v>
      </c>
      <c r="P200" s="107">
        <f>ROUND(L200/L201,2)</f>
        <v>203.9</v>
      </c>
      <c r="Q200" s="108"/>
    </row>
    <row r="201" spans="5:13" ht="16.5" customHeight="1">
      <c r="E201" s="78" t="s">
        <v>165</v>
      </c>
      <c r="F201" s="78"/>
      <c r="G201" s="78" t="s">
        <v>75</v>
      </c>
      <c r="H201" s="7" t="s">
        <v>198</v>
      </c>
      <c r="L201" s="108">
        <f>ROUND(3*L197-C197*C197,3)</f>
        <v>0.448</v>
      </c>
      <c r="M201" s="78"/>
    </row>
    <row r="202" ht="16.5" customHeight="1"/>
    <row r="203" spans="3:17" ht="16.5" customHeight="1">
      <c r="C203" s="7" t="s">
        <v>166</v>
      </c>
      <c r="E203" s="76" t="s">
        <v>167</v>
      </c>
      <c r="F203" s="76"/>
      <c r="G203" s="72" t="s">
        <v>75</v>
      </c>
      <c r="H203" s="76" t="s">
        <v>168</v>
      </c>
      <c r="I203" s="76"/>
      <c r="J203" s="127" t="s">
        <v>26</v>
      </c>
      <c r="L203" s="113">
        <f>ROUND((3*Q197)-(C197*G197),3)</f>
        <v>19.72</v>
      </c>
      <c r="M203" s="113"/>
      <c r="O203" s="7" t="s">
        <v>26</v>
      </c>
      <c r="P203" s="107">
        <f>ROUND(L203/L204,2)</f>
        <v>44.02</v>
      </c>
      <c r="Q203" s="107"/>
    </row>
    <row r="204" spans="5:13" ht="16.5" customHeight="1">
      <c r="E204" s="7" t="s">
        <v>165</v>
      </c>
      <c r="G204" s="78" t="s">
        <v>75</v>
      </c>
      <c r="H204" s="7" t="s">
        <v>198</v>
      </c>
      <c r="L204" s="108">
        <f>ROUND(3*L197-C197*C197,3)</f>
        <v>0.448</v>
      </c>
      <c r="M204" s="108"/>
    </row>
    <row r="205" spans="23:24" ht="8.25" customHeight="1">
      <c r="W205" s="105">
        <f>C183</f>
        <v>38.1</v>
      </c>
      <c r="X205" s="7">
        <f>S183</f>
        <v>319</v>
      </c>
    </row>
    <row r="206" spans="2:24" ht="16.5" customHeight="1">
      <c r="B206" s="7" t="s">
        <v>75</v>
      </c>
      <c r="C206" s="84" t="s">
        <v>169</v>
      </c>
      <c r="M206" s="7" t="s">
        <v>170</v>
      </c>
      <c r="W206" s="105">
        <f>C185</f>
        <v>43.1</v>
      </c>
      <c r="X206" s="7">
        <f>S185</f>
        <v>306</v>
      </c>
    </row>
    <row r="207" spans="23:24" ht="16.5" customHeight="1">
      <c r="W207" s="105">
        <f>C187</f>
        <v>48.1</v>
      </c>
      <c r="X207" s="7">
        <f>S187</f>
        <v>295</v>
      </c>
    </row>
    <row r="208" spans="3:18" ht="16.5" customHeight="1">
      <c r="C208" s="79">
        <f>J19</f>
        <v>302</v>
      </c>
      <c r="D208" s="79"/>
      <c r="E208" s="78" t="s">
        <v>26</v>
      </c>
      <c r="F208" s="107">
        <f>P200</f>
        <v>203.9</v>
      </c>
      <c r="G208" s="78"/>
      <c r="H208" s="78" t="s">
        <v>44</v>
      </c>
      <c r="I208" s="107">
        <f>P203</f>
        <v>44.02</v>
      </c>
      <c r="J208" s="78"/>
      <c r="K208" s="7" t="s">
        <v>45</v>
      </c>
      <c r="L208" s="78"/>
      <c r="M208" s="78"/>
      <c r="N208" s="107"/>
      <c r="O208" s="78"/>
      <c r="Q208" s="107"/>
      <c r="R208" s="107"/>
    </row>
    <row r="209" ht="16.5" customHeight="1"/>
    <row r="210" spans="3:11" ht="16.5" customHeight="1">
      <c r="C210" s="7" t="s">
        <v>45</v>
      </c>
      <c r="E210" s="78" t="s">
        <v>26</v>
      </c>
      <c r="F210" s="92">
        <f>ROUND(C208-F208,2)</f>
        <v>98.1</v>
      </c>
      <c r="G210" s="94"/>
      <c r="H210" s="78" t="s">
        <v>26</v>
      </c>
      <c r="I210" s="107">
        <f>ROUND(F210/F211,2)</f>
        <v>2.23</v>
      </c>
      <c r="J210" s="107"/>
      <c r="K210" s="119"/>
    </row>
    <row r="211" spans="6:7" ht="16.5" customHeight="1">
      <c r="F211" s="107">
        <f>I208</f>
        <v>44.02</v>
      </c>
      <c r="G211" s="78"/>
    </row>
    <row r="212" ht="16.5" customHeight="1"/>
    <row r="213" spans="3:8" ht="16.5" customHeight="1">
      <c r="C213" s="7" t="s">
        <v>57</v>
      </c>
      <c r="D213" s="7" t="s">
        <v>47</v>
      </c>
      <c r="E213" s="7" t="s">
        <v>26</v>
      </c>
      <c r="F213" s="83">
        <v>44.9</v>
      </c>
      <c r="G213" s="83"/>
      <c r="H213" s="7" t="s">
        <v>11</v>
      </c>
    </row>
    <row r="214" ht="16.5" customHeight="1"/>
    <row r="215" ht="16.5" customHeight="1"/>
    <row r="216" ht="16.5" customHeight="1"/>
    <row r="217" ht="16.5" customHeight="1"/>
    <row r="218" ht="26.25" customHeight="1"/>
    <row r="219" ht="22.5" customHeight="1"/>
    <row r="220" ht="16.5" customHeight="1">
      <c r="A220" s="7" t="s">
        <v>171</v>
      </c>
    </row>
    <row r="221" spans="1:18" ht="16.5" customHeight="1">
      <c r="A221" s="7" t="s">
        <v>85</v>
      </c>
      <c r="B221" s="7" t="s">
        <v>86</v>
      </c>
      <c r="F221" s="7" t="s">
        <v>34</v>
      </c>
      <c r="G221" s="7" t="s">
        <v>87</v>
      </c>
      <c r="L221" s="115">
        <f>F213</f>
        <v>44.9</v>
      </c>
      <c r="M221" s="84" t="s">
        <v>88</v>
      </c>
      <c r="O221" s="79">
        <f>I182</f>
        <v>181.1</v>
      </c>
      <c r="P221" s="83"/>
      <c r="Q221" s="7" t="s">
        <v>89</v>
      </c>
      <c r="R221" s="7" t="s">
        <v>90</v>
      </c>
    </row>
    <row r="222" spans="6:15" ht="16.5" customHeight="1">
      <c r="F222" s="7" t="s">
        <v>91</v>
      </c>
      <c r="G222" s="79">
        <f>O221</f>
        <v>181.1</v>
      </c>
      <c r="H222" s="78"/>
      <c r="I222" s="106" t="s">
        <v>76</v>
      </c>
      <c r="J222" s="108">
        <f>ROUND(L221/100,3)</f>
        <v>0.449</v>
      </c>
      <c r="K222" s="107"/>
      <c r="L222" s="7" t="s">
        <v>26</v>
      </c>
      <c r="M222" s="79">
        <v>404</v>
      </c>
      <c r="N222" s="79"/>
      <c r="O222" s="7" t="s">
        <v>89</v>
      </c>
    </row>
    <row r="223" spans="1:15" ht="16.5" customHeight="1">
      <c r="A223" s="7" t="s">
        <v>85</v>
      </c>
      <c r="B223" s="7" t="s">
        <v>92</v>
      </c>
      <c r="F223" s="7" t="s">
        <v>91</v>
      </c>
      <c r="G223" s="79">
        <f>M222</f>
        <v>404</v>
      </c>
      <c r="H223" s="78"/>
      <c r="I223" s="106" t="s">
        <v>76</v>
      </c>
      <c r="J223" s="78">
        <f>J171</f>
        <v>3.05</v>
      </c>
      <c r="K223" s="78"/>
      <c r="L223" s="7" t="s">
        <v>26</v>
      </c>
      <c r="M223" s="79">
        <f>G223/J223</f>
        <v>132.45901639344262</v>
      </c>
      <c r="N223" s="79"/>
      <c r="O223" s="7" t="s">
        <v>93</v>
      </c>
    </row>
    <row r="224" spans="1:15" ht="16.5" customHeight="1">
      <c r="A224" s="7" t="s">
        <v>85</v>
      </c>
      <c r="B224" s="7" t="s">
        <v>94</v>
      </c>
      <c r="M224" s="78">
        <f>M172</f>
        <v>30</v>
      </c>
      <c r="N224" s="78"/>
      <c r="O224" s="7" t="s">
        <v>93</v>
      </c>
    </row>
    <row r="225" spans="1:20" ht="16.5" customHeight="1">
      <c r="A225" s="7" t="s">
        <v>85</v>
      </c>
      <c r="B225" s="7" t="s">
        <v>95</v>
      </c>
      <c r="F225" s="84" t="s">
        <v>96</v>
      </c>
      <c r="G225" s="7" t="s">
        <v>48</v>
      </c>
      <c r="H225" s="108">
        <f>M223/1000</f>
        <v>0.13245901639344262</v>
      </c>
      <c r="I225" s="108"/>
      <c r="J225" s="108" t="s">
        <v>44</v>
      </c>
      <c r="K225" s="108">
        <f>O221/1000</f>
        <v>0.18109999999999998</v>
      </c>
      <c r="L225" s="108"/>
      <c r="M225" s="78" t="s">
        <v>44</v>
      </c>
      <c r="N225" s="78">
        <f>M224/1000</f>
        <v>0.03</v>
      </c>
      <c r="O225" s="78"/>
      <c r="P225" s="7" t="s">
        <v>3</v>
      </c>
      <c r="Q225" s="7" t="s">
        <v>26</v>
      </c>
      <c r="R225" s="128">
        <f>1-(H225+K225+N225)</f>
        <v>0.6564409836065573</v>
      </c>
      <c r="S225" s="107"/>
      <c r="T225" s="84" t="s">
        <v>97</v>
      </c>
    </row>
    <row r="226" spans="1:14" ht="16.5" customHeight="1">
      <c r="A226" s="7" t="s">
        <v>85</v>
      </c>
      <c r="B226" s="7" t="s">
        <v>98</v>
      </c>
      <c r="F226" s="128">
        <f>R225</f>
        <v>0.6564409836065573</v>
      </c>
      <c r="G226" s="78"/>
      <c r="H226" s="82" t="s">
        <v>28</v>
      </c>
      <c r="I226" s="128">
        <f>ROUND(E187/100,4)</f>
        <v>0.4395</v>
      </c>
      <c r="J226" s="128"/>
      <c r="K226" s="78" t="s">
        <v>26</v>
      </c>
      <c r="L226" s="128">
        <f>ROUND(F226*I226,4)</f>
        <v>0.2885</v>
      </c>
      <c r="M226" s="128"/>
      <c r="N226" s="84" t="s">
        <v>97</v>
      </c>
    </row>
    <row r="227" spans="1:14" ht="16.5" customHeight="1">
      <c r="A227" s="7" t="s">
        <v>85</v>
      </c>
      <c r="B227" s="7" t="s">
        <v>99</v>
      </c>
      <c r="F227" s="128">
        <f>R225</f>
        <v>0.6564409836065573</v>
      </c>
      <c r="G227" s="78"/>
      <c r="H227" s="78" t="s">
        <v>75</v>
      </c>
      <c r="I227" s="128">
        <f>L226</f>
        <v>0.2885</v>
      </c>
      <c r="J227" s="128"/>
      <c r="K227" s="78" t="s">
        <v>26</v>
      </c>
      <c r="L227" s="128">
        <f>ROUND(F227-I227,4)</f>
        <v>0.3679</v>
      </c>
      <c r="M227" s="128"/>
      <c r="N227" s="84" t="s">
        <v>97</v>
      </c>
    </row>
    <row r="228" spans="1:17" ht="16.5" customHeight="1">
      <c r="A228" s="7" t="s">
        <v>85</v>
      </c>
      <c r="B228" s="7" t="s">
        <v>100</v>
      </c>
      <c r="F228" s="128">
        <f>L226</f>
        <v>0.2885</v>
      </c>
      <c r="G228" s="78"/>
      <c r="H228" s="82" t="s">
        <v>28</v>
      </c>
      <c r="I228" s="78">
        <f>I176</f>
        <v>2.58</v>
      </c>
      <c r="J228" s="78"/>
      <c r="K228" s="82" t="s">
        <v>28</v>
      </c>
      <c r="L228" s="78">
        <v>1000</v>
      </c>
      <c r="M228" s="78"/>
      <c r="N228" s="78" t="s">
        <v>26</v>
      </c>
      <c r="O228" s="79">
        <v>745</v>
      </c>
      <c r="P228" s="79"/>
      <c r="Q228" s="7" t="s">
        <v>89</v>
      </c>
    </row>
    <row r="229" spans="1:17" ht="16.5" customHeight="1">
      <c r="A229" s="7" t="s">
        <v>85</v>
      </c>
      <c r="B229" s="7" t="s">
        <v>101</v>
      </c>
      <c r="F229" s="128">
        <f>L227</f>
        <v>0.3679</v>
      </c>
      <c r="G229" s="78"/>
      <c r="H229" s="82" t="s">
        <v>28</v>
      </c>
      <c r="I229" s="107">
        <f>I177</f>
        <v>2.7</v>
      </c>
      <c r="J229" s="78"/>
      <c r="K229" s="82" t="s">
        <v>28</v>
      </c>
      <c r="L229" s="78">
        <v>1000</v>
      </c>
      <c r="M229" s="78"/>
      <c r="N229" s="78" t="s">
        <v>26</v>
      </c>
      <c r="O229" s="79">
        <f>F229*I229*L229</f>
        <v>993.33</v>
      </c>
      <c r="P229" s="79"/>
      <c r="Q229" s="7" t="s">
        <v>89</v>
      </c>
    </row>
    <row r="230" spans="1:14" ht="16.5" customHeight="1">
      <c r="A230" s="7" t="s">
        <v>85</v>
      </c>
      <c r="B230" s="7" t="s">
        <v>102</v>
      </c>
      <c r="F230" s="79">
        <f>I236</f>
        <v>404</v>
      </c>
      <c r="G230" s="78"/>
      <c r="H230" s="82" t="s">
        <v>28</v>
      </c>
      <c r="I230" s="78">
        <f>I178</f>
        <v>0.003</v>
      </c>
      <c r="J230" s="78"/>
      <c r="K230" s="78" t="s">
        <v>26</v>
      </c>
      <c r="L230" s="107">
        <f>F230*I230</f>
        <v>1.212</v>
      </c>
      <c r="M230" s="107"/>
      <c r="N230" s="7" t="s">
        <v>89</v>
      </c>
    </row>
    <row r="231" ht="10.5" customHeight="1"/>
    <row r="232" ht="16.5" customHeight="1">
      <c r="A232" s="7" t="s">
        <v>172</v>
      </c>
    </row>
    <row r="233" ht="16.5" customHeight="1">
      <c r="A233" s="7" t="s">
        <v>173</v>
      </c>
    </row>
    <row r="234" spans="1:20" ht="16.5" customHeight="1">
      <c r="A234" s="31" t="s">
        <v>106</v>
      </c>
      <c r="B234" s="109"/>
      <c r="C234" s="32" t="s">
        <v>47</v>
      </c>
      <c r="D234" s="109"/>
      <c r="E234" s="32" t="s">
        <v>107</v>
      </c>
      <c r="F234" s="109"/>
      <c r="G234" s="32" t="s">
        <v>66</v>
      </c>
      <c r="H234" s="109"/>
      <c r="I234" s="86" t="s">
        <v>108</v>
      </c>
      <c r="J234" s="86"/>
      <c r="K234" s="86"/>
      <c r="L234" s="86"/>
      <c r="M234" s="86"/>
      <c r="N234" s="86"/>
      <c r="O234" s="86"/>
      <c r="P234" s="86"/>
      <c r="Q234" s="86"/>
      <c r="R234" s="87"/>
      <c r="S234" s="32" t="s">
        <v>69</v>
      </c>
      <c r="T234" s="109"/>
    </row>
    <row r="235" spans="1:20" ht="16.5" customHeight="1">
      <c r="A235" s="71"/>
      <c r="B235" s="88"/>
      <c r="C235" s="72" t="s">
        <v>109</v>
      </c>
      <c r="D235" s="88"/>
      <c r="E235" s="89"/>
      <c r="F235" s="88"/>
      <c r="G235" s="72" t="s">
        <v>110</v>
      </c>
      <c r="H235" s="88"/>
      <c r="I235" s="72" t="s">
        <v>111</v>
      </c>
      <c r="J235" s="88"/>
      <c r="K235" s="72" t="s">
        <v>67</v>
      </c>
      <c r="L235" s="88"/>
      <c r="M235" s="72" t="s">
        <v>112</v>
      </c>
      <c r="N235" s="88"/>
      <c r="O235" s="72" t="s">
        <v>113</v>
      </c>
      <c r="P235" s="88"/>
      <c r="Q235" s="72" t="s">
        <v>114</v>
      </c>
      <c r="R235" s="88"/>
      <c r="S235" s="89"/>
      <c r="T235" s="88"/>
    </row>
    <row r="236" spans="1:20" ht="16.5" customHeight="1">
      <c r="A236" s="71">
        <v>1</v>
      </c>
      <c r="B236" s="110" t="s">
        <v>97</v>
      </c>
      <c r="C236" s="111"/>
      <c r="D236" s="112"/>
      <c r="E236" s="51"/>
      <c r="F236" s="112"/>
      <c r="G236" s="51"/>
      <c r="H236" s="112"/>
      <c r="I236" s="94">
        <f>I246</f>
        <v>404</v>
      </c>
      <c r="J236" s="88"/>
      <c r="K236" s="94">
        <f>K246</f>
        <v>181</v>
      </c>
      <c r="L236" s="88"/>
      <c r="M236" s="94">
        <f>M246</f>
        <v>745</v>
      </c>
      <c r="N236" s="88"/>
      <c r="O236" s="94">
        <f>O246</f>
        <v>993</v>
      </c>
      <c r="P236" s="88"/>
      <c r="Q236" s="92">
        <f>Q246</f>
        <v>1.21</v>
      </c>
      <c r="R236" s="88"/>
      <c r="S236" s="111"/>
      <c r="T236" s="112"/>
    </row>
    <row r="237" spans="1:20" ht="16.5" customHeight="1">
      <c r="A237" s="71" t="s">
        <v>115</v>
      </c>
      <c r="B237" s="88"/>
      <c r="C237" s="90">
        <f>C246</f>
        <v>44.9</v>
      </c>
      <c r="D237" s="88"/>
      <c r="E237" s="72">
        <f>E139</f>
        <v>15</v>
      </c>
      <c r="F237" s="88"/>
      <c r="G237" s="90">
        <f>E185</f>
        <v>43.95</v>
      </c>
      <c r="H237" s="88"/>
      <c r="I237" s="113">
        <f>I236*0.04</f>
        <v>16.16</v>
      </c>
      <c r="J237" s="114"/>
      <c r="K237" s="113">
        <f>K236*0.04</f>
        <v>7.24</v>
      </c>
      <c r="L237" s="114"/>
      <c r="M237" s="113">
        <f>M236*0.04</f>
        <v>29.8</v>
      </c>
      <c r="N237" s="114"/>
      <c r="O237" s="113">
        <f>O236*0.04</f>
        <v>39.72</v>
      </c>
      <c r="P237" s="114"/>
      <c r="Q237" s="113">
        <f>Q236*0.04</f>
        <v>0.0484</v>
      </c>
      <c r="R237" s="114"/>
      <c r="S237" s="89"/>
      <c r="T237" s="88"/>
    </row>
    <row r="238" ht="16.5" customHeight="1"/>
    <row r="239" ht="16.5" customHeight="1">
      <c r="A239" s="7" t="s">
        <v>174</v>
      </c>
    </row>
    <row r="240" spans="1:20" ht="16.5" customHeight="1">
      <c r="A240" s="85" t="s">
        <v>117</v>
      </c>
      <c r="B240" s="86"/>
      <c r="C240" s="86"/>
      <c r="D240" s="86"/>
      <c r="E240" s="87"/>
      <c r="F240" s="86" t="s">
        <v>118</v>
      </c>
      <c r="G240" s="86"/>
      <c r="H240" s="86"/>
      <c r="I240" s="86"/>
      <c r="J240" s="87"/>
      <c r="K240" s="86" t="s">
        <v>119</v>
      </c>
      <c r="L240" s="86"/>
      <c r="M240" s="86"/>
      <c r="N240" s="86"/>
      <c r="O240" s="87"/>
      <c r="P240" s="86" t="s">
        <v>120</v>
      </c>
      <c r="Q240" s="86"/>
      <c r="R240" s="86"/>
      <c r="S240" s="86"/>
      <c r="T240" s="87"/>
    </row>
    <row r="241" spans="1:20" ht="16.5" customHeight="1">
      <c r="A241" s="71">
        <f>E237</f>
        <v>15</v>
      </c>
      <c r="B241" s="72"/>
      <c r="C241" s="72"/>
      <c r="D241" s="72"/>
      <c r="E241" s="88"/>
      <c r="F241" s="72">
        <v>4.5</v>
      </c>
      <c r="G241" s="72"/>
      <c r="H241" s="72"/>
      <c r="I241" s="72"/>
      <c r="J241" s="88"/>
      <c r="K241" s="72" t="s">
        <v>132</v>
      </c>
      <c r="L241" s="72"/>
      <c r="M241" s="72"/>
      <c r="N241" s="72"/>
      <c r="O241" s="88"/>
      <c r="P241" s="89"/>
      <c r="Q241" s="72"/>
      <c r="R241" s="72"/>
      <c r="S241" s="72"/>
      <c r="T241" s="88"/>
    </row>
    <row r="242" ht="16.5" customHeight="1"/>
    <row r="243" ht="16.5" customHeight="1">
      <c r="A243" s="7" t="s">
        <v>175</v>
      </c>
    </row>
    <row r="244" spans="1:20" ht="16.5" customHeight="1">
      <c r="A244" s="31" t="s">
        <v>106</v>
      </c>
      <c r="B244" s="109"/>
      <c r="C244" s="32" t="s">
        <v>47</v>
      </c>
      <c r="D244" s="109"/>
      <c r="E244" s="32" t="s">
        <v>176</v>
      </c>
      <c r="F244" s="109"/>
      <c r="G244" s="32" t="s">
        <v>66</v>
      </c>
      <c r="H244" s="109"/>
      <c r="I244" s="86" t="s">
        <v>108</v>
      </c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7"/>
    </row>
    <row r="245" spans="1:20" ht="16.5" customHeight="1">
      <c r="A245" s="71"/>
      <c r="B245" s="88"/>
      <c r="C245" s="72" t="s">
        <v>109</v>
      </c>
      <c r="D245" s="88"/>
      <c r="E245" s="72" t="s">
        <v>110</v>
      </c>
      <c r="F245" s="88"/>
      <c r="G245" s="72" t="s">
        <v>109</v>
      </c>
      <c r="H245" s="88"/>
      <c r="I245" s="72" t="s">
        <v>111</v>
      </c>
      <c r="J245" s="88"/>
      <c r="K245" s="72" t="s">
        <v>67</v>
      </c>
      <c r="L245" s="88"/>
      <c r="M245" s="72" t="s">
        <v>112</v>
      </c>
      <c r="N245" s="88"/>
      <c r="O245" s="72" t="s">
        <v>113</v>
      </c>
      <c r="P245" s="88"/>
      <c r="Q245" s="85" t="s">
        <v>114</v>
      </c>
      <c r="R245" s="87"/>
      <c r="S245" s="72" t="s">
        <v>177</v>
      </c>
      <c r="T245" s="88"/>
    </row>
    <row r="246" spans="1:20" ht="16.5" customHeight="1">
      <c r="A246" s="71">
        <v>1</v>
      </c>
      <c r="B246" s="110" t="s">
        <v>97</v>
      </c>
      <c r="C246" s="90">
        <v>44.9</v>
      </c>
      <c r="D246" s="88"/>
      <c r="E246" s="72">
        <f>E237</f>
        <v>15</v>
      </c>
      <c r="F246" s="88"/>
      <c r="G246" s="90">
        <f>G237</f>
        <v>43.95</v>
      </c>
      <c r="H246" s="88"/>
      <c r="I246" s="94">
        <v>404</v>
      </c>
      <c r="J246" s="88"/>
      <c r="K246" s="94">
        <v>181</v>
      </c>
      <c r="L246" s="88"/>
      <c r="M246" s="94">
        <v>745</v>
      </c>
      <c r="N246" s="88"/>
      <c r="O246" s="94">
        <v>993</v>
      </c>
      <c r="P246" s="88"/>
      <c r="Q246" s="129">
        <v>1.21</v>
      </c>
      <c r="R246" s="87"/>
      <c r="S246" s="94">
        <v>2331</v>
      </c>
      <c r="T246" s="88"/>
    </row>
    <row r="247" spans="1:2" ht="23.25" customHeight="1">
      <c r="A247" s="7" t="s">
        <v>178</v>
      </c>
      <c r="B247" s="65"/>
    </row>
    <row r="248" spans="1:20" ht="17.25" customHeight="1">
      <c r="A248" s="31"/>
      <c r="B248" s="32"/>
      <c r="C248" s="109"/>
      <c r="D248" s="32" t="s">
        <v>77</v>
      </c>
      <c r="E248" s="109"/>
      <c r="F248" s="32" t="s">
        <v>66</v>
      </c>
      <c r="G248" s="109"/>
      <c r="H248" s="32" t="s">
        <v>176</v>
      </c>
      <c r="I248" s="109"/>
      <c r="J248" s="32" t="s">
        <v>179</v>
      </c>
      <c r="K248" s="109"/>
      <c r="L248" s="130" t="s">
        <v>180</v>
      </c>
      <c r="M248" s="86"/>
      <c r="N248" s="86"/>
      <c r="O248" s="86"/>
      <c r="P248" s="86"/>
      <c r="Q248" s="86"/>
      <c r="R248" s="86"/>
      <c r="S248" s="86"/>
      <c r="T248" s="87"/>
    </row>
    <row r="249" spans="1:20" ht="17.25" customHeight="1">
      <c r="A249" s="71" t="s">
        <v>106</v>
      </c>
      <c r="B249" s="72"/>
      <c r="C249" s="88"/>
      <c r="D249" s="72" t="s">
        <v>109</v>
      </c>
      <c r="E249" s="88"/>
      <c r="F249" s="72" t="s">
        <v>109</v>
      </c>
      <c r="G249" s="88"/>
      <c r="H249" s="72" t="s">
        <v>181</v>
      </c>
      <c r="I249" s="88"/>
      <c r="J249" s="72" t="s">
        <v>109</v>
      </c>
      <c r="K249" s="88"/>
      <c r="L249" s="71" t="s">
        <v>182</v>
      </c>
      <c r="M249" s="72"/>
      <c r="N249" s="88"/>
      <c r="O249" s="71" t="s">
        <v>183</v>
      </c>
      <c r="P249" s="72"/>
      <c r="Q249" s="88"/>
      <c r="R249" s="71" t="s">
        <v>184</v>
      </c>
      <c r="S249" s="72"/>
      <c r="T249" s="88"/>
    </row>
    <row r="250" spans="1:20" ht="17.25" customHeight="1">
      <c r="A250" s="31"/>
      <c r="B250" s="51"/>
      <c r="C250" s="112"/>
      <c r="D250" s="31"/>
      <c r="E250" s="109"/>
      <c r="F250" s="31"/>
      <c r="G250" s="109"/>
      <c r="H250" s="31"/>
      <c r="I250" s="109"/>
      <c r="J250" s="31"/>
      <c r="K250" s="109"/>
      <c r="L250" s="85" t="s">
        <v>185</v>
      </c>
      <c r="M250" s="86"/>
      <c r="N250" s="87"/>
      <c r="O250" s="86">
        <v>199</v>
      </c>
      <c r="P250" s="86"/>
      <c r="Q250" s="87"/>
      <c r="R250" s="86">
        <v>311</v>
      </c>
      <c r="S250" s="86"/>
      <c r="T250" s="87"/>
    </row>
    <row r="251" spans="1:20" ht="17.25" customHeight="1">
      <c r="A251" s="66" t="s">
        <v>186</v>
      </c>
      <c r="B251" s="51"/>
      <c r="C251" s="112"/>
      <c r="D251" s="131"/>
      <c r="E251" s="112"/>
      <c r="F251" s="66"/>
      <c r="G251" s="112"/>
      <c r="H251" s="66"/>
      <c r="I251" s="112"/>
      <c r="J251" s="66"/>
      <c r="K251" s="112"/>
      <c r="L251" s="85" t="s">
        <v>187</v>
      </c>
      <c r="M251" s="86"/>
      <c r="N251" s="87"/>
      <c r="O251" s="86">
        <v>199</v>
      </c>
      <c r="P251" s="86"/>
      <c r="Q251" s="87"/>
      <c r="R251" s="86">
        <v>309</v>
      </c>
      <c r="S251" s="86"/>
      <c r="T251" s="87"/>
    </row>
    <row r="252" spans="1:20" ht="17.25" customHeight="1">
      <c r="A252" s="66" t="s">
        <v>188</v>
      </c>
      <c r="B252" s="51"/>
      <c r="C252" s="112"/>
      <c r="D252" s="132">
        <f>C246</f>
        <v>44.9</v>
      </c>
      <c r="E252" s="112"/>
      <c r="F252" s="132">
        <f>G246</f>
        <v>43.95</v>
      </c>
      <c r="G252" s="112"/>
      <c r="H252" s="66">
        <v>15.5</v>
      </c>
      <c r="I252" s="112"/>
      <c r="J252" s="66">
        <v>4.4</v>
      </c>
      <c r="K252" s="112"/>
      <c r="L252" s="85" t="s">
        <v>189</v>
      </c>
      <c r="M252" s="86"/>
      <c r="N252" s="87"/>
      <c r="O252" s="86">
        <v>201</v>
      </c>
      <c r="P252" s="86"/>
      <c r="Q252" s="87"/>
      <c r="R252" s="86">
        <v>306</v>
      </c>
      <c r="S252" s="86"/>
      <c r="T252" s="87"/>
    </row>
    <row r="253" spans="1:20" ht="17.25" customHeight="1">
      <c r="A253" s="71"/>
      <c r="B253" s="72"/>
      <c r="C253" s="88"/>
      <c r="D253" s="71"/>
      <c r="E253" s="88"/>
      <c r="F253" s="71"/>
      <c r="G253" s="88"/>
      <c r="H253" s="71"/>
      <c r="I253" s="88"/>
      <c r="J253" s="71"/>
      <c r="K253" s="88"/>
      <c r="L253" s="85" t="s">
        <v>190</v>
      </c>
      <c r="M253" s="86"/>
      <c r="N253" s="87"/>
      <c r="O253" s="133">
        <f>AVERAGE(O250:O252)</f>
        <v>199.66666666666666</v>
      </c>
      <c r="P253" s="86"/>
      <c r="Q253" s="87"/>
      <c r="R253" s="133">
        <f>AVERAGE(R250:R252)</f>
        <v>308.6666666666667</v>
      </c>
      <c r="S253" s="86"/>
      <c r="T253" s="87"/>
    </row>
    <row r="254" spans="1:20" ht="17.25" customHeight="1">
      <c r="A254" s="31"/>
      <c r="B254" s="51"/>
      <c r="C254" s="112"/>
      <c r="D254" s="31"/>
      <c r="E254" s="109"/>
      <c r="F254" s="31"/>
      <c r="G254" s="109"/>
      <c r="H254" s="31"/>
      <c r="I254" s="109"/>
      <c r="J254" s="31"/>
      <c r="K254" s="109"/>
      <c r="L254" s="85" t="s">
        <v>185</v>
      </c>
      <c r="M254" s="86"/>
      <c r="N254" s="87"/>
      <c r="O254" s="86">
        <v>199</v>
      </c>
      <c r="P254" s="86"/>
      <c r="Q254" s="87"/>
      <c r="R254" s="86">
        <v>300</v>
      </c>
      <c r="S254" s="86"/>
      <c r="T254" s="87"/>
    </row>
    <row r="255" spans="1:20" ht="17.25" customHeight="1">
      <c r="A255" s="134" t="s">
        <v>191</v>
      </c>
      <c r="B255" s="51"/>
      <c r="C255" s="112"/>
      <c r="D255" s="131"/>
      <c r="E255" s="112"/>
      <c r="F255" s="66"/>
      <c r="G255" s="112"/>
      <c r="H255" s="66"/>
      <c r="I255" s="112"/>
      <c r="J255" s="66"/>
      <c r="K255" s="112"/>
      <c r="L255" s="85" t="s">
        <v>187</v>
      </c>
      <c r="M255" s="86"/>
      <c r="N255" s="87"/>
      <c r="O255" s="86">
        <v>203</v>
      </c>
      <c r="P255" s="86"/>
      <c r="Q255" s="87"/>
      <c r="R255" s="86">
        <v>301</v>
      </c>
      <c r="S255" s="86"/>
      <c r="T255" s="87"/>
    </row>
    <row r="256" spans="1:20" ht="17.25" customHeight="1">
      <c r="A256" s="66" t="s">
        <v>188</v>
      </c>
      <c r="B256" s="51"/>
      <c r="C256" s="112"/>
      <c r="D256" s="132">
        <f>C246</f>
        <v>44.9</v>
      </c>
      <c r="E256" s="112"/>
      <c r="F256" s="132">
        <f>G246</f>
        <v>43.95</v>
      </c>
      <c r="G256" s="112"/>
      <c r="H256" s="66">
        <v>15</v>
      </c>
      <c r="I256" s="112"/>
      <c r="J256" s="66">
        <v>4.5</v>
      </c>
      <c r="K256" s="112"/>
      <c r="L256" s="85" t="s">
        <v>189</v>
      </c>
      <c r="M256" s="86"/>
      <c r="N256" s="87"/>
      <c r="O256" s="86">
        <v>203</v>
      </c>
      <c r="P256" s="86"/>
      <c r="Q256" s="87"/>
      <c r="R256" s="86">
        <v>302</v>
      </c>
      <c r="S256" s="86"/>
      <c r="T256" s="87"/>
    </row>
    <row r="257" spans="1:20" ht="17.25" customHeight="1">
      <c r="A257" s="71"/>
      <c r="B257" s="72"/>
      <c r="C257" s="88"/>
      <c r="D257" s="71"/>
      <c r="E257" s="88"/>
      <c r="F257" s="71"/>
      <c r="G257" s="88"/>
      <c r="H257" s="71"/>
      <c r="I257" s="88"/>
      <c r="J257" s="71"/>
      <c r="K257" s="88"/>
      <c r="L257" s="85" t="s">
        <v>190</v>
      </c>
      <c r="M257" s="86"/>
      <c r="N257" s="87"/>
      <c r="O257" s="133">
        <f>AVERAGE(O254:O256)</f>
        <v>201.66666666666666</v>
      </c>
      <c r="P257" s="86"/>
      <c r="Q257" s="87"/>
      <c r="R257" s="133">
        <f>AVERAGE(R254:R256)</f>
        <v>301</v>
      </c>
      <c r="S257" s="86"/>
      <c r="T257" s="87"/>
    </row>
    <row r="258" spans="1:20" ht="17.25" customHeight="1">
      <c r="A258" s="31"/>
      <c r="B258" s="51"/>
      <c r="C258" s="112"/>
      <c r="D258" s="31"/>
      <c r="E258" s="109"/>
      <c r="F258" s="31"/>
      <c r="G258" s="109"/>
      <c r="H258" s="31"/>
      <c r="I258" s="109"/>
      <c r="J258" s="31"/>
      <c r="K258" s="109"/>
      <c r="L258" s="85" t="s">
        <v>185</v>
      </c>
      <c r="M258" s="86"/>
      <c r="N258" s="87"/>
      <c r="O258" s="86">
        <v>201</v>
      </c>
      <c r="P258" s="86"/>
      <c r="Q258" s="87"/>
      <c r="R258" s="86">
        <v>298</v>
      </c>
      <c r="S258" s="86"/>
      <c r="T258" s="87"/>
    </row>
    <row r="259" spans="1:20" ht="17.25" customHeight="1">
      <c r="A259" s="134" t="s">
        <v>192</v>
      </c>
      <c r="B259" s="51"/>
      <c r="C259" s="112"/>
      <c r="D259" s="131"/>
      <c r="E259" s="112"/>
      <c r="F259" s="66"/>
      <c r="G259" s="112"/>
      <c r="H259" s="66"/>
      <c r="I259" s="112"/>
      <c r="J259" s="66"/>
      <c r="K259" s="112"/>
      <c r="L259" s="85" t="s">
        <v>187</v>
      </c>
      <c r="M259" s="86"/>
      <c r="N259" s="87"/>
      <c r="O259" s="86">
        <v>200</v>
      </c>
      <c r="P259" s="86"/>
      <c r="Q259" s="87"/>
      <c r="R259" s="86">
        <v>302</v>
      </c>
      <c r="S259" s="86"/>
      <c r="T259" s="87"/>
    </row>
    <row r="260" spans="1:20" ht="17.25" customHeight="1">
      <c r="A260" s="66" t="s">
        <v>188</v>
      </c>
      <c r="B260" s="51"/>
      <c r="C260" s="112"/>
      <c r="D260" s="132">
        <f>C246</f>
        <v>44.9</v>
      </c>
      <c r="E260" s="112"/>
      <c r="F260" s="132">
        <f>G246</f>
        <v>43.95</v>
      </c>
      <c r="G260" s="112"/>
      <c r="H260" s="66">
        <v>15</v>
      </c>
      <c r="I260" s="112"/>
      <c r="J260" s="66">
        <v>4.5</v>
      </c>
      <c r="K260" s="112"/>
      <c r="L260" s="85" t="s">
        <v>189</v>
      </c>
      <c r="M260" s="86"/>
      <c r="N260" s="87"/>
      <c r="O260" s="86">
        <v>202</v>
      </c>
      <c r="P260" s="86"/>
      <c r="Q260" s="87"/>
      <c r="R260" s="86">
        <v>303</v>
      </c>
      <c r="S260" s="86"/>
      <c r="T260" s="87"/>
    </row>
    <row r="261" spans="1:20" ht="17.25" customHeight="1">
      <c r="A261" s="71"/>
      <c r="B261" s="72"/>
      <c r="C261" s="88"/>
      <c r="D261" s="71"/>
      <c r="E261" s="88"/>
      <c r="F261" s="71"/>
      <c r="G261" s="88"/>
      <c r="H261" s="71"/>
      <c r="I261" s="88"/>
      <c r="J261" s="71"/>
      <c r="K261" s="88"/>
      <c r="L261" s="85" t="s">
        <v>193</v>
      </c>
      <c r="M261" s="86"/>
      <c r="N261" s="87"/>
      <c r="O261" s="133">
        <f>AVERAGE(O258:O260)</f>
        <v>201</v>
      </c>
      <c r="P261" s="86"/>
      <c r="Q261" s="87"/>
      <c r="R261" s="133">
        <f>AVERAGE(R258:R260)</f>
        <v>301</v>
      </c>
      <c r="S261" s="86"/>
      <c r="T261" s="87"/>
    </row>
    <row r="262" spans="1:20" ht="12">
      <c r="A262" s="31"/>
      <c r="B262" s="32"/>
      <c r="C262" s="109"/>
      <c r="D262" s="31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109"/>
    </row>
    <row r="263" spans="1:20" ht="12">
      <c r="A263" s="66"/>
      <c r="B263" s="51"/>
      <c r="C263" s="112"/>
      <c r="D263" s="66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112"/>
    </row>
    <row r="264" spans="1:20" ht="12">
      <c r="A264" s="66" t="s">
        <v>194</v>
      </c>
      <c r="B264" s="51"/>
      <c r="C264" s="112"/>
      <c r="D264" s="13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112"/>
    </row>
    <row r="265" spans="1:20" ht="12">
      <c r="A265" s="71"/>
      <c r="B265" s="72"/>
      <c r="C265" s="88"/>
      <c r="D265" s="71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88"/>
    </row>
    <row r="266" ht="12">
      <c r="D266" s="65"/>
    </row>
  </sheetData>
  <printOptions horizontalCentered="1" verticalCentered="1"/>
  <pageMargins left="0.7480314960629921" right="0.5118110236220472" top="0.9448818897637796" bottom="1.0236220472440944" header="0.5118110236220472" footer="0.5905511811023623"/>
  <pageSetup horizontalDpi="600" verticalDpi="600" orientation="portrait" paperSize="9" scale="87" r:id="rId2"/>
  <headerFooter alignWithMargins="0">
    <oddHeader>&amp;C&amp;A</oddHeader>
    <oddFooter>&amp;C&amp;P 쪽</oddFooter>
  </headerFooter>
  <rowBreaks count="6" manualBreakCount="6">
    <brk id="20" max="20" man="1"/>
    <brk id="62" max="20" man="1"/>
    <brk id="98" max="20" man="1"/>
    <brk id="133" max="20" man="1"/>
    <brk id="175" max="20" man="1"/>
    <brk id="218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6"/>
  <sheetViews>
    <sheetView view="pageBreakPreview" zoomScaleNormal="80" zoomScaleSheetLayoutView="100" workbookViewId="0" topLeftCell="A247">
      <selection activeCell="Q2" sqref="Q2"/>
    </sheetView>
  </sheetViews>
  <sheetFormatPr defaultColWidth="8.88671875" defaultRowHeight="13.5"/>
  <cols>
    <col min="1" max="4" width="3.4453125" style="7" customWidth="1"/>
    <col min="5" max="5" width="3.6640625" style="7" customWidth="1"/>
    <col min="6" max="7" width="3.4453125" style="7" customWidth="1"/>
    <col min="8" max="8" width="3.99609375" style="7" customWidth="1"/>
    <col min="9" max="9" width="4.3359375" style="7" customWidth="1"/>
    <col min="10" max="10" width="3.5546875" style="7" customWidth="1"/>
    <col min="11" max="11" width="3.4453125" style="7" customWidth="1"/>
    <col min="12" max="12" width="3.6640625" style="7" customWidth="1"/>
    <col min="13" max="13" width="3.5546875" style="7" customWidth="1"/>
    <col min="14" max="14" width="3.6640625" style="7" customWidth="1"/>
    <col min="15" max="15" width="3.77734375" style="7" customWidth="1"/>
    <col min="16" max="16" width="3.4453125" style="7" customWidth="1"/>
    <col min="17" max="18" width="3.99609375" style="7" customWidth="1"/>
    <col min="19" max="19" width="4.21484375" style="7" customWidth="1"/>
    <col min="20" max="20" width="3.99609375" style="7" customWidth="1"/>
    <col min="21" max="21" width="3.4453125" style="7" customWidth="1"/>
    <col min="22" max="22" width="5.99609375" style="7" customWidth="1"/>
    <col min="23" max="25" width="4.21484375" style="7" customWidth="1"/>
    <col min="26" max="16384" width="7.10546875" style="7" customWidth="1"/>
  </cols>
  <sheetData>
    <row r="1" spans="1:20" s="6" customFormat="1" ht="47.2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5"/>
    </row>
    <row r="2" spans="1:20" s="11" customFormat="1" ht="27" customHeight="1">
      <c r="A2" s="8" t="s">
        <v>1</v>
      </c>
      <c r="F2" s="9">
        <v>20</v>
      </c>
      <c r="G2" s="12" t="s">
        <v>2</v>
      </c>
      <c r="H2" s="9">
        <v>400</v>
      </c>
      <c r="I2" s="12" t="s">
        <v>2</v>
      </c>
      <c r="J2" s="10">
        <v>15</v>
      </c>
      <c r="K2" s="11" t="s">
        <v>3</v>
      </c>
      <c r="O2" s="13"/>
      <c r="P2" s="13"/>
      <c r="Q2" s="14"/>
      <c r="R2" s="13"/>
      <c r="S2" s="13"/>
      <c r="T2" s="13"/>
    </row>
    <row r="3" spans="1:20" s="19" customFormat="1" ht="13.5" customHeight="1">
      <c r="A3" s="15"/>
      <c r="B3" s="16"/>
      <c r="C3" s="16"/>
      <c r="D3" s="16"/>
      <c r="E3" s="16"/>
      <c r="F3" s="17"/>
      <c r="G3" s="17"/>
      <c r="H3" s="17"/>
      <c r="I3" s="17"/>
      <c r="J3" s="18"/>
      <c r="K3" s="16"/>
      <c r="O3" s="20"/>
      <c r="P3" s="20"/>
      <c r="Q3" s="21"/>
      <c r="R3" s="20"/>
      <c r="S3" s="20"/>
      <c r="T3" s="20"/>
    </row>
    <row r="4" spans="1:20" ht="29.25" customHeight="1">
      <c r="A4" s="22" t="s">
        <v>4</v>
      </c>
      <c r="B4" s="23"/>
      <c r="C4" s="23"/>
      <c r="D4" s="23"/>
      <c r="E4" s="23"/>
      <c r="F4" s="24"/>
      <c r="G4" s="23">
        <f>H2</f>
        <v>400</v>
      </c>
      <c r="H4" s="23"/>
      <c r="I4" s="23" t="s">
        <v>5</v>
      </c>
      <c r="J4" s="24"/>
      <c r="K4" s="25" t="s">
        <v>6</v>
      </c>
      <c r="L4" s="23"/>
      <c r="M4" s="23"/>
      <c r="N4" s="23"/>
      <c r="O4" s="23"/>
      <c r="P4" s="24"/>
      <c r="Q4" s="23">
        <f>F2</f>
        <v>20</v>
      </c>
      <c r="R4" s="23"/>
      <c r="S4" s="23" t="s">
        <v>7</v>
      </c>
      <c r="T4" s="24"/>
    </row>
    <row r="5" spans="1:20" ht="29.25" customHeight="1">
      <c r="A5" s="25" t="s">
        <v>8</v>
      </c>
      <c r="B5" s="23"/>
      <c r="C5" s="23"/>
      <c r="D5" s="23"/>
      <c r="E5" s="23"/>
      <c r="F5" s="24"/>
      <c r="G5" s="26">
        <f>J2</f>
        <v>15</v>
      </c>
      <c r="H5" s="23"/>
      <c r="I5" s="23" t="s">
        <v>9</v>
      </c>
      <c r="J5" s="24"/>
      <c r="K5" s="25" t="s">
        <v>10</v>
      </c>
      <c r="L5" s="23"/>
      <c r="M5" s="23"/>
      <c r="N5" s="23"/>
      <c r="O5" s="23"/>
      <c r="P5" s="24"/>
      <c r="Q5" s="23">
        <v>4.5</v>
      </c>
      <c r="R5" s="23"/>
      <c r="S5" s="23" t="s">
        <v>11</v>
      </c>
      <c r="T5" s="24"/>
    </row>
    <row r="6" spans="1:20" ht="29.25" customHeight="1">
      <c r="A6" s="22" t="s">
        <v>12</v>
      </c>
      <c r="B6" s="23"/>
      <c r="C6" s="23"/>
      <c r="D6" s="23"/>
      <c r="E6" s="23"/>
      <c r="F6" s="24"/>
      <c r="G6" s="28">
        <v>36.8</v>
      </c>
      <c r="H6" s="23"/>
      <c r="I6" s="23" t="s">
        <v>5</v>
      </c>
      <c r="J6" s="24"/>
      <c r="K6" s="25" t="s">
        <v>13</v>
      </c>
      <c r="L6" s="23"/>
      <c r="M6" s="23"/>
      <c r="N6" s="23"/>
      <c r="O6" s="23"/>
      <c r="P6" s="24"/>
      <c r="Q6" s="23">
        <f>ROUND((G6/J19)*100,2)</f>
        <v>8</v>
      </c>
      <c r="R6" s="23"/>
      <c r="S6" s="23" t="s">
        <v>11</v>
      </c>
      <c r="T6" s="24"/>
    </row>
    <row r="7" spans="1:20" ht="29.25" customHeight="1">
      <c r="A7" s="22" t="s">
        <v>14</v>
      </c>
      <c r="B7" s="23"/>
      <c r="C7" s="23"/>
      <c r="D7" s="23"/>
      <c r="E7" s="23"/>
      <c r="F7" s="24"/>
      <c r="G7" s="27">
        <f>ROUND(J19/G4,2)</f>
        <v>1.15</v>
      </c>
      <c r="H7" s="23"/>
      <c r="I7" s="23"/>
      <c r="J7" s="24"/>
      <c r="K7" s="25" t="s">
        <v>15</v>
      </c>
      <c r="L7" s="23"/>
      <c r="M7" s="23"/>
      <c r="N7" s="23"/>
      <c r="O7" s="23"/>
      <c r="P7" s="24"/>
      <c r="Q7" s="23">
        <v>1.5</v>
      </c>
      <c r="R7" s="23"/>
      <c r="S7" s="23" t="s">
        <v>11</v>
      </c>
      <c r="T7" s="24"/>
    </row>
    <row r="8" spans="1:20" ht="29.25" customHeight="1">
      <c r="A8" s="25" t="s">
        <v>16</v>
      </c>
      <c r="B8" s="23"/>
      <c r="C8" s="23"/>
      <c r="D8" s="23"/>
      <c r="E8" s="23"/>
      <c r="F8" s="24"/>
      <c r="G8" s="27">
        <v>2.58</v>
      </c>
      <c r="H8" s="23"/>
      <c r="I8" s="23"/>
      <c r="J8" s="24"/>
      <c r="K8" s="22" t="s">
        <v>17</v>
      </c>
      <c r="L8" s="23"/>
      <c r="M8" s="23"/>
      <c r="N8" s="23"/>
      <c r="O8" s="23"/>
      <c r="P8" s="24"/>
      <c r="Q8" s="23">
        <v>0.8</v>
      </c>
      <c r="R8" s="23"/>
      <c r="S8" s="23" t="s">
        <v>11</v>
      </c>
      <c r="T8" s="24"/>
    </row>
    <row r="9" spans="1:20" ht="29.25" customHeight="1">
      <c r="A9" s="25" t="s">
        <v>18</v>
      </c>
      <c r="B9" s="23"/>
      <c r="C9" s="23"/>
      <c r="D9" s="23"/>
      <c r="E9" s="23"/>
      <c r="F9" s="24"/>
      <c r="G9" s="27">
        <v>2.7</v>
      </c>
      <c r="H9" s="23"/>
      <c r="I9" s="23"/>
      <c r="J9" s="24"/>
      <c r="K9" s="25" t="s">
        <v>19</v>
      </c>
      <c r="L9" s="23"/>
      <c r="M9" s="23"/>
      <c r="N9" s="23"/>
      <c r="O9" s="23"/>
      <c r="P9" s="24"/>
      <c r="Q9" s="23">
        <v>3.05</v>
      </c>
      <c r="R9" s="23"/>
      <c r="S9" s="23"/>
      <c r="T9" s="24"/>
    </row>
    <row r="10" spans="1:20" ht="29.25" customHeight="1">
      <c r="A10" s="25" t="s">
        <v>20</v>
      </c>
      <c r="B10" s="23"/>
      <c r="C10" s="23"/>
      <c r="D10" s="23"/>
      <c r="E10" s="23"/>
      <c r="F10" s="24"/>
      <c r="G10" s="28">
        <v>2.8</v>
      </c>
      <c r="H10" s="23"/>
      <c r="I10" s="23"/>
      <c r="J10" s="24"/>
      <c r="K10" s="22" t="s">
        <v>21</v>
      </c>
      <c r="L10" s="23"/>
      <c r="M10" s="23"/>
      <c r="N10" s="23"/>
      <c r="O10" s="23"/>
      <c r="P10" s="24"/>
      <c r="Q10" s="138" t="s">
        <v>199</v>
      </c>
      <c r="R10" s="23"/>
      <c r="S10" s="23"/>
      <c r="T10" s="24"/>
    </row>
    <row r="11" spans="1:20" ht="42.75" customHeight="1">
      <c r="A11" s="21"/>
      <c r="B11" s="21"/>
      <c r="C11" s="21"/>
      <c r="D11" s="21"/>
      <c r="E11" s="21"/>
      <c r="F11" s="21"/>
      <c r="G11" s="20"/>
      <c r="H11" s="20"/>
      <c r="I11" s="21"/>
      <c r="J11" s="21"/>
      <c r="K11" s="29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9" customFormat="1" ht="35.25" customHeight="1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30"/>
      <c r="L12" s="20"/>
      <c r="M12" s="20"/>
      <c r="N12" s="20"/>
      <c r="O12" s="20"/>
      <c r="P12" s="20"/>
      <c r="Q12" s="20"/>
      <c r="R12" s="20"/>
      <c r="S12" s="20"/>
      <c r="T12" s="20"/>
    </row>
    <row r="13" spans="1:21" ht="44.25" customHeight="1">
      <c r="A13" s="31" t="s">
        <v>24</v>
      </c>
      <c r="B13" s="32"/>
      <c r="C13" s="32"/>
      <c r="D13" s="33" t="s">
        <v>25</v>
      </c>
      <c r="E13" s="34"/>
      <c r="F13" s="34"/>
      <c r="G13" s="34"/>
      <c r="H13" s="34"/>
      <c r="I13" s="34"/>
      <c r="J13" s="34"/>
      <c r="K13" s="32"/>
      <c r="L13" s="34"/>
      <c r="M13" s="34"/>
      <c r="N13" s="35"/>
      <c r="O13" s="33"/>
      <c r="P13" s="36"/>
      <c r="Q13" s="37"/>
      <c r="R13" s="38"/>
      <c r="S13" s="38"/>
      <c r="T13" s="39"/>
      <c r="U13" s="40"/>
    </row>
    <row r="14" spans="1:20" s="19" customFormat="1" ht="26.25" customHeight="1">
      <c r="A14" s="41"/>
      <c r="B14" s="21"/>
      <c r="C14" s="21"/>
      <c r="D14" s="42"/>
      <c r="E14" s="20"/>
      <c r="F14" s="20"/>
      <c r="G14" s="20"/>
      <c r="H14" s="21"/>
      <c r="I14" s="20"/>
      <c r="J14" s="21" t="s">
        <v>26</v>
      </c>
      <c r="K14" s="20">
        <f>G4</f>
        <v>400</v>
      </c>
      <c r="L14" s="20" t="s">
        <v>27</v>
      </c>
      <c r="M14" s="135">
        <v>1.64</v>
      </c>
      <c r="N14" s="44" t="s">
        <v>28</v>
      </c>
      <c r="O14" s="45">
        <f>G6</f>
        <v>36.8</v>
      </c>
      <c r="P14" s="46" t="s">
        <v>29</v>
      </c>
      <c r="Q14" s="20">
        <f>ROUND(K14+M14*O14,0)</f>
        <v>460</v>
      </c>
      <c r="R14" s="20"/>
      <c r="S14" s="20"/>
      <c r="T14" s="47"/>
    </row>
    <row r="15" spans="1:21" ht="47.25" customHeight="1">
      <c r="A15" s="48" t="s">
        <v>30</v>
      </c>
      <c r="B15" s="49"/>
      <c r="C15" s="49"/>
      <c r="D15" s="50" t="s">
        <v>31</v>
      </c>
      <c r="E15" s="49"/>
      <c r="F15" s="49"/>
      <c r="G15" s="49"/>
      <c r="H15" s="49"/>
      <c r="I15" s="49"/>
      <c r="J15" s="49"/>
      <c r="K15" s="51"/>
      <c r="L15" s="52"/>
      <c r="M15" s="49"/>
      <c r="N15" s="49"/>
      <c r="O15" s="52"/>
      <c r="P15" s="52"/>
      <c r="Q15" s="53"/>
      <c r="R15" s="54"/>
      <c r="S15" s="55"/>
      <c r="T15" s="56"/>
      <c r="U15" s="40"/>
    </row>
    <row r="16" spans="1:20" s="19" customFormat="1" ht="27.75" customHeight="1">
      <c r="A16" s="57"/>
      <c r="B16" s="20"/>
      <c r="C16" s="20"/>
      <c r="D16" s="42"/>
      <c r="E16" s="20"/>
      <c r="F16" s="20"/>
      <c r="G16" s="20"/>
      <c r="H16" s="20"/>
      <c r="I16" s="20"/>
      <c r="J16" s="21" t="s">
        <v>26</v>
      </c>
      <c r="K16" s="46">
        <v>0.85</v>
      </c>
      <c r="L16" s="58" t="s">
        <v>28</v>
      </c>
      <c r="M16" s="20">
        <f>K14</f>
        <v>400</v>
      </c>
      <c r="N16" s="46" t="s">
        <v>27</v>
      </c>
      <c r="O16" s="46">
        <v>3</v>
      </c>
      <c r="P16" s="59" t="s">
        <v>28</v>
      </c>
      <c r="Q16" s="60">
        <f>O14</f>
        <v>36.8</v>
      </c>
      <c r="R16" s="61" t="s">
        <v>32</v>
      </c>
      <c r="S16" s="46">
        <f>ROUND(K16*M16+O16*Q16,0)</f>
        <v>450</v>
      </c>
      <c r="T16" s="62"/>
    </row>
    <row r="17" spans="1:21" ht="40.5" customHeight="1">
      <c r="A17" s="48" t="s">
        <v>33</v>
      </c>
      <c r="B17" s="49"/>
      <c r="C17" s="51" t="s">
        <v>34</v>
      </c>
      <c r="D17" s="49" t="s">
        <v>35</v>
      </c>
      <c r="E17" s="49"/>
      <c r="F17" s="49"/>
      <c r="G17" s="49"/>
      <c r="H17" s="49"/>
      <c r="I17" s="49"/>
      <c r="J17" s="49"/>
      <c r="K17" s="63"/>
      <c r="L17" s="49"/>
      <c r="M17" s="49"/>
      <c r="N17" s="49"/>
      <c r="O17" s="49"/>
      <c r="P17" s="49"/>
      <c r="Q17" s="49"/>
      <c r="R17" s="49"/>
      <c r="S17" s="49"/>
      <c r="T17" s="64"/>
      <c r="U17" s="40"/>
    </row>
    <row r="18" spans="1:21" ht="27.75" customHeight="1">
      <c r="A18" s="48" t="s">
        <v>36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49"/>
      <c r="O18" s="49"/>
      <c r="P18" s="49"/>
      <c r="Q18" s="49"/>
      <c r="R18" s="49"/>
      <c r="S18" s="49"/>
      <c r="T18" s="64"/>
      <c r="U18" s="40"/>
    </row>
    <row r="19" spans="1:20" ht="27.75" customHeight="1">
      <c r="A19" s="66" t="s">
        <v>37</v>
      </c>
      <c r="B19" s="51"/>
      <c r="C19" s="51"/>
      <c r="D19" s="51"/>
      <c r="E19" s="51"/>
      <c r="F19" s="51" t="s">
        <v>34</v>
      </c>
      <c r="G19" s="51" t="s">
        <v>38</v>
      </c>
      <c r="H19" s="51"/>
      <c r="I19" s="51" t="s">
        <v>26</v>
      </c>
      <c r="J19" s="67">
        <f>MAX(Q14,S16)</f>
        <v>460</v>
      </c>
      <c r="K19" s="68"/>
      <c r="L19" s="68" t="s">
        <v>39</v>
      </c>
      <c r="M19" s="69"/>
      <c r="N19" s="65"/>
      <c r="O19" s="65"/>
      <c r="P19" s="65"/>
      <c r="Q19" s="65"/>
      <c r="R19" s="65"/>
      <c r="S19" s="65"/>
      <c r="T19" s="70"/>
    </row>
    <row r="20" spans="1:20" ht="15" customHeight="1">
      <c r="A20" s="71"/>
      <c r="B20" s="72"/>
      <c r="C20" s="72"/>
      <c r="D20" s="72"/>
      <c r="E20" s="72"/>
      <c r="F20" s="72"/>
      <c r="G20" s="72"/>
      <c r="H20" s="72"/>
      <c r="I20" s="72"/>
      <c r="J20" s="73"/>
      <c r="K20" s="74"/>
      <c r="L20" s="74"/>
      <c r="M20" s="75"/>
      <c r="N20" s="76"/>
      <c r="O20" s="76"/>
      <c r="P20" s="76"/>
      <c r="Q20" s="76"/>
      <c r="R20" s="76"/>
      <c r="S20" s="76"/>
      <c r="T20" s="77"/>
    </row>
    <row r="21" ht="19.5" customHeight="1">
      <c r="A21" s="7" t="s">
        <v>40</v>
      </c>
    </row>
    <row r="22" ht="16.5" customHeight="1"/>
    <row r="23" ht="16.5" customHeight="1">
      <c r="A23" s="7" t="s">
        <v>41</v>
      </c>
    </row>
    <row r="24" spans="1:13" ht="16.5" customHeight="1">
      <c r="A24" s="7" t="s">
        <v>42</v>
      </c>
      <c r="B24" s="78" t="s">
        <v>43</v>
      </c>
      <c r="C24" s="78"/>
      <c r="D24" s="78" t="s">
        <v>26</v>
      </c>
      <c r="E24" s="78"/>
      <c r="F24" s="78">
        <v>-18</v>
      </c>
      <c r="G24" s="78"/>
      <c r="H24" s="78" t="s">
        <v>44</v>
      </c>
      <c r="I24" s="78"/>
      <c r="J24" s="78">
        <v>134</v>
      </c>
      <c r="L24" s="7" t="s">
        <v>45</v>
      </c>
      <c r="M24" s="7" t="s">
        <v>46</v>
      </c>
    </row>
    <row r="25" spans="2:12" ht="16.5" customHeight="1">
      <c r="B25" s="79">
        <f>J19</f>
        <v>460</v>
      </c>
      <c r="C25" s="78"/>
      <c r="D25" s="78" t="s">
        <v>26</v>
      </c>
      <c r="E25" s="78"/>
      <c r="F25" s="78">
        <v>-18</v>
      </c>
      <c r="G25" s="78"/>
      <c r="H25" s="78" t="s">
        <v>44</v>
      </c>
      <c r="I25" s="78"/>
      <c r="J25" s="78">
        <v>134</v>
      </c>
      <c r="L25" s="7" t="s">
        <v>45</v>
      </c>
    </row>
    <row r="26" spans="2:18" ht="16.5" customHeight="1">
      <c r="B26" s="78" t="s">
        <v>47</v>
      </c>
      <c r="C26" s="78"/>
      <c r="D26" s="78" t="s">
        <v>26</v>
      </c>
      <c r="E26" s="78"/>
      <c r="F26" s="78" t="s">
        <v>48</v>
      </c>
      <c r="G26" s="78">
        <f>J25</f>
        <v>134</v>
      </c>
      <c r="H26" s="80" t="s">
        <v>195</v>
      </c>
      <c r="I26" s="81">
        <v>18</v>
      </c>
      <c r="J26" s="79" t="s">
        <v>44</v>
      </c>
      <c r="K26" s="79">
        <f>J19</f>
        <v>460</v>
      </c>
      <c r="L26" s="78" t="s">
        <v>49</v>
      </c>
      <c r="M26" s="82" t="s">
        <v>196</v>
      </c>
      <c r="N26" s="78"/>
      <c r="O26" s="78" t="s">
        <v>26</v>
      </c>
      <c r="P26" s="83">
        <f>ROUND((G26/(I26+K26))*100,1)</f>
        <v>28</v>
      </c>
      <c r="Q26" s="78"/>
      <c r="R26" s="78" t="s">
        <v>11</v>
      </c>
    </row>
    <row r="27" spans="1:17" ht="20.25" customHeight="1">
      <c r="A27" s="84" t="s">
        <v>50</v>
      </c>
      <c r="P27" s="7">
        <v>60</v>
      </c>
      <c r="Q27" s="84" t="s">
        <v>51</v>
      </c>
    </row>
    <row r="28" spans="1:9" ht="20.25" customHeight="1">
      <c r="A28" s="7" t="s">
        <v>52</v>
      </c>
      <c r="H28" s="7">
        <v>55</v>
      </c>
      <c r="I28" s="84" t="s">
        <v>53</v>
      </c>
    </row>
    <row r="29" spans="1:10" ht="20.25" customHeight="1">
      <c r="A29" s="7" t="s">
        <v>54</v>
      </c>
      <c r="H29" s="7" t="s">
        <v>55</v>
      </c>
      <c r="J29" s="7" t="s">
        <v>56</v>
      </c>
    </row>
    <row r="30" spans="2:17" ht="16.5" customHeight="1">
      <c r="B30" s="7" t="s">
        <v>57</v>
      </c>
      <c r="C30" s="7" t="s">
        <v>58</v>
      </c>
      <c r="M30" s="7" t="s">
        <v>47</v>
      </c>
      <c r="N30" s="7" t="s">
        <v>26</v>
      </c>
      <c r="O30" s="83">
        <f>P26</f>
        <v>28</v>
      </c>
      <c r="P30" s="78"/>
      <c r="Q30" s="84" t="s">
        <v>59</v>
      </c>
    </row>
    <row r="31" ht="22.5" customHeight="1"/>
    <row r="32" ht="16.5" customHeight="1">
      <c r="A32" s="7" t="s">
        <v>60</v>
      </c>
    </row>
    <row r="33" spans="1:12" ht="16.5" customHeight="1">
      <c r="A33" s="7" t="s">
        <v>61</v>
      </c>
      <c r="B33" s="7" t="s">
        <v>47</v>
      </c>
      <c r="C33" s="7" t="s">
        <v>26</v>
      </c>
      <c r="D33" s="7">
        <v>55</v>
      </c>
      <c r="E33" s="7" t="s">
        <v>11</v>
      </c>
      <c r="F33" s="7" t="s">
        <v>62</v>
      </c>
      <c r="H33" s="7">
        <v>8</v>
      </c>
      <c r="I33" s="7" t="s">
        <v>63</v>
      </c>
      <c r="J33" s="7" t="s">
        <v>64</v>
      </c>
      <c r="L33" s="7">
        <v>2.8</v>
      </c>
    </row>
    <row r="34" spans="1:20" ht="16.5" customHeight="1">
      <c r="A34" s="85" t="s">
        <v>65</v>
      </c>
      <c r="B34" s="86"/>
      <c r="C34" s="86"/>
      <c r="D34" s="87"/>
      <c r="E34" s="86" t="s">
        <v>66</v>
      </c>
      <c r="F34" s="86"/>
      <c r="G34" s="86"/>
      <c r="H34" s="87"/>
      <c r="I34" s="86" t="s">
        <v>67</v>
      </c>
      <c r="J34" s="86"/>
      <c r="K34" s="86"/>
      <c r="L34" s="87"/>
      <c r="M34" s="86" t="s">
        <v>68</v>
      </c>
      <c r="N34" s="86"/>
      <c r="O34" s="86"/>
      <c r="P34" s="87"/>
      <c r="Q34" s="86" t="s">
        <v>69</v>
      </c>
      <c r="R34" s="86"/>
      <c r="S34" s="86"/>
      <c r="T34" s="87"/>
    </row>
    <row r="35" spans="1:20" ht="16.5" customHeight="1">
      <c r="A35" s="71">
        <f>F2</f>
        <v>20</v>
      </c>
      <c r="B35" s="72"/>
      <c r="C35" s="72"/>
      <c r="D35" s="88"/>
      <c r="E35" s="72">
        <v>45</v>
      </c>
      <c r="F35" s="72"/>
      <c r="G35" s="72"/>
      <c r="H35" s="88"/>
      <c r="I35" s="72">
        <v>165</v>
      </c>
      <c r="J35" s="72"/>
      <c r="K35" s="72"/>
      <c r="L35" s="88"/>
      <c r="M35" s="72">
        <v>6</v>
      </c>
      <c r="N35" s="72"/>
      <c r="O35" s="72"/>
      <c r="P35" s="88"/>
      <c r="Q35" s="89"/>
      <c r="R35" s="72"/>
      <c r="S35" s="72"/>
      <c r="T35" s="88"/>
    </row>
    <row r="36" ht="16.5" customHeight="1"/>
    <row r="37" ht="16.5" customHeight="1">
      <c r="A37" s="84" t="s">
        <v>70</v>
      </c>
    </row>
    <row r="38" spans="1:20" ht="17.25" customHeight="1">
      <c r="A38" s="85" t="s">
        <v>71</v>
      </c>
      <c r="B38" s="86"/>
      <c r="C38" s="86"/>
      <c r="D38" s="86"/>
      <c r="E38" s="87"/>
      <c r="F38" s="86" t="s">
        <v>72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  <c r="R38" s="86" t="s">
        <v>73</v>
      </c>
      <c r="S38" s="86"/>
      <c r="T38" s="87"/>
    </row>
    <row r="39" spans="1:20" ht="17.25" customHeight="1">
      <c r="A39" s="71" t="s">
        <v>74</v>
      </c>
      <c r="B39" s="72"/>
      <c r="C39" s="72"/>
      <c r="D39" s="86"/>
      <c r="E39" s="88"/>
      <c r="F39" s="72" t="s">
        <v>48</v>
      </c>
      <c r="G39" s="90">
        <f>G10</f>
        <v>2.8</v>
      </c>
      <c r="H39" s="72" t="s">
        <v>75</v>
      </c>
      <c r="I39" s="72">
        <f>L33</f>
        <v>2.8</v>
      </c>
      <c r="J39" s="72" t="s">
        <v>3</v>
      </c>
      <c r="K39" s="91" t="s">
        <v>76</v>
      </c>
      <c r="L39" s="72">
        <v>0.1</v>
      </c>
      <c r="M39" s="91" t="s">
        <v>28</v>
      </c>
      <c r="N39" s="72">
        <v>0.5</v>
      </c>
      <c r="O39" s="72"/>
      <c r="P39" s="89"/>
      <c r="Q39" s="88"/>
      <c r="R39" s="72">
        <f>ROUND((G39-I39)/L39*N39,2)</f>
        <v>0</v>
      </c>
      <c r="S39" s="72"/>
      <c r="T39" s="88"/>
    </row>
    <row r="40" spans="1:20" ht="17.25" customHeight="1">
      <c r="A40" s="71" t="s">
        <v>77</v>
      </c>
      <c r="B40" s="72"/>
      <c r="C40" s="72"/>
      <c r="D40" s="86"/>
      <c r="E40" s="88"/>
      <c r="F40" s="72" t="s">
        <v>48</v>
      </c>
      <c r="G40" s="92">
        <f>ROUND(O30/100,2)</f>
        <v>0.28</v>
      </c>
      <c r="H40" s="72"/>
      <c r="I40" s="72" t="s">
        <v>75</v>
      </c>
      <c r="J40" s="72">
        <f>ROUND(D33/100,2)</f>
        <v>0.55</v>
      </c>
      <c r="K40" s="72"/>
      <c r="L40" s="72" t="s">
        <v>3</v>
      </c>
      <c r="M40" s="93" t="s">
        <v>76</v>
      </c>
      <c r="N40" s="72">
        <v>0.05</v>
      </c>
      <c r="O40" s="72"/>
      <c r="P40" s="72"/>
      <c r="Q40" s="77"/>
      <c r="R40" s="92">
        <f>ROUND((G40-J40)/N40,2)</f>
        <v>-5.4</v>
      </c>
      <c r="S40" s="94"/>
      <c r="T40" s="95"/>
    </row>
    <row r="41" spans="1:20" ht="17.25" customHeight="1">
      <c r="A41" s="71" t="s">
        <v>78</v>
      </c>
      <c r="B41" s="72"/>
      <c r="C41" s="72"/>
      <c r="D41" s="86"/>
      <c r="E41" s="96"/>
      <c r="F41" s="72" t="s">
        <v>48</v>
      </c>
      <c r="G41" s="72">
        <f>Q5</f>
        <v>4.5</v>
      </c>
      <c r="H41" s="72"/>
      <c r="I41" s="72" t="s">
        <v>75</v>
      </c>
      <c r="J41" s="72">
        <f>M35</f>
        <v>6</v>
      </c>
      <c r="K41" s="72"/>
      <c r="L41" s="72" t="s">
        <v>3</v>
      </c>
      <c r="M41" s="91" t="s">
        <v>28</v>
      </c>
      <c r="N41" s="72">
        <v>-0.75</v>
      </c>
      <c r="O41" s="72"/>
      <c r="P41" s="72"/>
      <c r="Q41" s="77"/>
      <c r="R41" s="92">
        <f>ROUND((G41-J41)*N41,2)</f>
        <v>1.13</v>
      </c>
      <c r="S41" s="94"/>
      <c r="T41" s="95"/>
    </row>
    <row r="42" spans="1:20" ht="17.25" customHeight="1">
      <c r="A42" s="71" t="s">
        <v>79</v>
      </c>
      <c r="B42" s="72"/>
      <c r="C42" s="72"/>
      <c r="D42" s="86"/>
      <c r="E42" s="96"/>
      <c r="F42" s="97"/>
      <c r="G42" s="97"/>
      <c r="H42" s="97"/>
      <c r="I42" s="89">
        <v>3</v>
      </c>
      <c r="J42" s="97"/>
      <c r="K42" s="97" t="s">
        <v>80</v>
      </c>
      <c r="L42" s="97"/>
      <c r="M42" s="97">
        <v>5</v>
      </c>
      <c r="N42" s="97"/>
      <c r="O42" s="97"/>
      <c r="P42" s="97"/>
      <c r="Q42" s="98"/>
      <c r="R42" s="94">
        <v>3</v>
      </c>
      <c r="S42" s="94"/>
      <c r="T42" s="95"/>
    </row>
    <row r="43" spans="1:20" ht="17.25" customHeight="1">
      <c r="A43" s="71" t="s">
        <v>81</v>
      </c>
      <c r="B43" s="72"/>
      <c r="C43" s="72"/>
      <c r="D43" s="86"/>
      <c r="E43" s="88"/>
      <c r="F43" s="72">
        <f>E35</f>
        <v>45</v>
      </c>
      <c r="G43" s="72" t="s">
        <v>44</v>
      </c>
      <c r="H43" s="72">
        <f>R39</f>
        <v>0</v>
      </c>
      <c r="I43" s="72" t="s">
        <v>44</v>
      </c>
      <c r="J43" s="92">
        <f>R40</f>
        <v>-5.4</v>
      </c>
      <c r="K43" s="72"/>
      <c r="L43" s="72" t="s">
        <v>44</v>
      </c>
      <c r="M43" s="72">
        <f>R41</f>
        <v>1.13</v>
      </c>
      <c r="N43" s="72"/>
      <c r="O43" s="99" t="s">
        <v>44</v>
      </c>
      <c r="P43" s="94">
        <f>R42</f>
        <v>3</v>
      </c>
      <c r="Q43" s="77"/>
      <c r="R43" s="90">
        <f>ROUND(F43+H43+J43+M43+P43,1)</f>
        <v>43.7</v>
      </c>
      <c r="S43" s="94"/>
      <c r="T43" s="95"/>
    </row>
    <row r="44" ht="21" customHeight="1">
      <c r="A44" s="84" t="s">
        <v>82</v>
      </c>
    </row>
    <row r="45" spans="1:20" ht="16.5" customHeight="1">
      <c r="A45" s="85" t="s">
        <v>71</v>
      </c>
      <c r="B45" s="86"/>
      <c r="C45" s="86"/>
      <c r="D45" s="86"/>
      <c r="E45" s="87"/>
      <c r="F45" s="86" t="s">
        <v>72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  <c r="R45" s="86" t="s">
        <v>73</v>
      </c>
      <c r="S45" s="86"/>
      <c r="T45" s="87"/>
    </row>
    <row r="46" spans="1:20" ht="16.5" customHeight="1">
      <c r="A46" s="71" t="s">
        <v>83</v>
      </c>
      <c r="B46" s="72"/>
      <c r="C46" s="72"/>
      <c r="D46" s="86"/>
      <c r="E46" s="88"/>
      <c r="F46" s="72" t="s">
        <v>48</v>
      </c>
      <c r="G46" s="94">
        <f>G5</f>
        <v>15</v>
      </c>
      <c r="H46" s="72" t="s">
        <v>75</v>
      </c>
      <c r="I46" s="72">
        <f>H33</f>
        <v>8</v>
      </c>
      <c r="J46" s="72" t="s">
        <v>3</v>
      </c>
      <c r="K46" s="91" t="s">
        <v>28</v>
      </c>
      <c r="L46" s="72">
        <v>0.012</v>
      </c>
      <c r="M46" s="72"/>
      <c r="N46" s="91" t="s">
        <v>28</v>
      </c>
      <c r="O46" s="72">
        <f>I35</f>
        <v>165</v>
      </c>
      <c r="P46" s="72"/>
      <c r="Q46" s="100"/>
      <c r="R46" s="92">
        <f>ROUND((G46-I46)*L46*O46,2)</f>
        <v>13.86</v>
      </c>
      <c r="S46" s="94"/>
      <c r="T46" s="95"/>
    </row>
    <row r="47" spans="1:20" ht="16.5" customHeight="1">
      <c r="A47" s="71" t="s">
        <v>78</v>
      </c>
      <c r="B47" s="72"/>
      <c r="C47" s="72"/>
      <c r="D47" s="86"/>
      <c r="E47" s="96"/>
      <c r="F47" s="72" t="s">
        <v>48</v>
      </c>
      <c r="G47" s="72">
        <f>Q5</f>
        <v>4.5</v>
      </c>
      <c r="H47" s="72" t="s">
        <v>75</v>
      </c>
      <c r="I47" s="72">
        <f>M35</f>
        <v>6</v>
      </c>
      <c r="J47" s="72" t="s">
        <v>3</v>
      </c>
      <c r="K47" s="91" t="s">
        <v>28</v>
      </c>
      <c r="L47" s="72">
        <v>-0.03</v>
      </c>
      <c r="M47" s="72"/>
      <c r="N47" s="93" t="s">
        <v>28</v>
      </c>
      <c r="O47" s="72">
        <f>O46</f>
        <v>165</v>
      </c>
      <c r="P47" s="72"/>
      <c r="Q47" s="77"/>
      <c r="R47" s="92">
        <f>ROUND((G47-I47)*L47*O47,2)</f>
        <v>7.43</v>
      </c>
      <c r="S47" s="94"/>
      <c r="T47" s="95"/>
    </row>
    <row r="48" spans="1:20" ht="16.5" customHeight="1">
      <c r="A48" s="101" t="s">
        <v>79</v>
      </c>
      <c r="B48" s="102"/>
      <c r="C48" s="102"/>
      <c r="D48" s="103"/>
      <c r="E48" s="104"/>
      <c r="F48" s="76"/>
      <c r="G48" s="76"/>
      <c r="H48" s="76"/>
      <c r="I48" s="76">
        <v>9</v>
      </c>
      <c r="J48" s="76"/>
      <c r="K48" s="76" t="s">
        <v>80</v>
      </c>
      <c r="L48" s="76"/>
      <c r="M48" s="76">
        <v>15</v>
      </c>
      <c r="N48" s="76"/>
      <c r="O48" s="76"/>
      <c r="P48" s="76"/>
      <c r="Q48" s="77"/>
      <c r="R48" s="92">
        <v>9</v>
      </c>
      <c r="S48" s="94"/>
      <c r="T48" s="95"/>
    </row>
    <row r="49" spans="1:20" ht="16.5" customHeight="1">
      <c r="A49" s="101" t="s">
        <v>81</v>
      </c>
      <c r="B49" s="72"/>
      <c r="C49" s="102"/>
      <c r="D49" s="103"/>
      <c r="E49" s="104"/>
      <c r="F49" s="72" t="s">
        <v>48</v>
      </c>
      <c r="G49" s="90">
        <f>R43</f>
        <v>43.7</v>
      </c>
      <c r="H49" s="72"/>
      <c r="I49" s="72" t="s">
        <v>75</v>
      </c>
      <c r="J49" s="90">
        <f>E35</f>
        <v>45</v>
      </c>
      <c r="K49" s="72"/>
      <c r="L49" s="72" t="s">
        <v>3</v>
      </c>
      <c r="M49" s="91" t="s">
        <v>28</v>
      </c>
      <c r="N49" s="72">
        <v>1.5</v>
      </c>
      <c r="O49" s="72"/>
      <c r="P49" s="76"/>
      <c r="Q49" s="77"/>
      <c r="R49" s="92">
        <f>ROUND((G49-J49)*N49,2)</f>
        <v>-1.95</v>
      </c>
      <c r="S49" s="94"/>
      <c r="T49" s="95"/>
    </row>
    <row r="50" spans="1:20" ht="16.5" customHeight="1">
      <c r="A50" s="71" t="s">
        <v>67</v>
      </c>
      <c r="B50" s="72"/>
      <c r="C50" s="72"/>
      <c r="D50" s="86"/>
      <c r="E50" s="88"/>
      <c r="F50" s="72">
        <f>I35</f>
        <v>165</v>
      </c>
      <c r="G50" s="72" t="s">
        <v>44</v>
      </c>
      <c r="H50" s="90">
        <f>R46</f>
        <v>13.86</v>
      </c>
      <c r="I50" s="72" t="s">
        <v>44</v>
      </c>
      <c r="J50" s="92">
        <f>R47</f>
        <v>7.43</v>
      </c>
      <c r="K50" s="72"/>
      <c r="L50" s="72" t="s">
        <v>44</v>
      </c>
      <c r="M50" s="90">
        <f>R48</f>
        <v>9</v>
      </c>
      <c r="N50" s="72" t="s">
        <v>44</v>
      </c>
      <c r="O50" s="92">
        <f>R49</f>
        <v>-1.95</v>
      </c>
      <c r="P50" s="72"/>
      <c r="Q50" s="77"/>
      <c r="R50" s="90">
        <f>ROUND(F50+H50+J50+M50+O50,5)</f>
        <v>193.34</v>
      </c>
      <c r="S50" s="94"/>
      <c r="T50" s="95"/>
    </row>
    <row r="51" ht="12" customHeight="1"/>
    <row r="52" ht="16.5" customHeight="1">
      <c r="A52" s="7" t="s">
        <v>84</v>
      </c>
    </row>
    <row r="53" spans="1:18" ht="16.5" customHeight="1">
      <c r="A53" s="7" t="s">
        <v>85</v>
      </c>
      <c r="B53" s="7" t="s">
        <v>86</v>
      </c>
      <c r="F53" s="7" t="s">
        <v>34</v>
      </c>
      <c r="G53" s="7" t="s">
        <v>87</v>
      </c>
      <c r="L53" s="105">
        <f>O30</f>
        <v>28</v>
      </c>
      <c r="M53" s="84" t="s">
        <v>88</v>
      </c>
      <c r="O53" s="105">
        <f>R50</f>
        <v>193.34</v>
      </c>
      <c r="Q53" s="7" t="s">
        <v>89</v>
      </c>
      <c r="R53" s="7" t="s">
        <v>90</v>
      </c>
    </row>
    <row r="54" spans="6:15" ht="16.5" customHeight="1">
      <c r="F54" s="7" t="s">
        <v>91</v>
      </c>
      <c r="G54" s="79">
        <f>O53</f>
        <v>193.34</v>
      </c>
      <c r="H54" s="78"/>
      <c r="I54" s="106" t="s">
        <v>76</v>
      </c>
      <c r="J54" s="107">
        <f>ROUND(L53/100,2)</f>
        <v>0.28</v>
      </c>
      <c r="K54" s="107"/>
      <c r="L54" s="7" t="s">
        <v>26</v>
      </c>
      <c r="M54" s="79">
        <f>ROUND(G54/J54,0)</f>
        <v>691</v>
      </c>
      <c r="N54" s="79"/>
      <c r="O54" s="7" t="s">
        <v>89</v>
      </c>
    </row>
    <row r="55" spans="1:15" ht="16.5" customHeight="1">
      <c r="A55" s="7" t="s">
        <v>85</v>
      </c>
      <c r="B55" s="7" t="s">
        <v>92</v>
      </c>
      <c r="F55" s="7" t="s">
        <v>91</v>
      </c>
      <c r="G55" s="79">
        <f>M54</f>
        <v>691</v>
      </c>
      <c r="H55" s="78"/>
      <c r="I55" s="106" t="s">
        <v>76</v>
      </c>
      <c r="J55" s="78">
        <f>Q9</f>
        <v>3.05</v>
      </c>
      <c r="K55" s="78"/>
      <c r="L55" s="7" t="s">
        <v>26</v>
      </c>
      <c r="M55" s="79">
        <f>ROUND(G55/J55,0)</f>
        <v>227</v>
      </c>
      <c r="N55" s="79"/>
      <c r="O55" s="7" t="s">
        <v>93</v>
      </c>
    </row>
    <row r="56" spans="1:15" ht="16.5" customHeight="1">
      <c r="A56" s="7" t="s">
        <v>85</v>
      </c>
      <c r="B56" s="7" t="s">
        <v>94</v>
      </c>
      <c r="M56" s="78">
        <v>30</v>
      </c>
      <c r="N56" s="78"/>
      <c r="O56" s="7" t="s">
        <v>93</v>
      </c>
    </row>
    <row r="57" spans="1:20" ht="16.5" customHeight="1">
      <c r="A57" s="7" t="s">
        <v>85</v>
      </c>
      <c r="B57" s="7" t="s">
        <v>95</v>
      </c>
      <c r="F57" s="84" t="s">
        <v>96</v>
      </c>
      <c r="G57" s="7" t="s">
        <v>48</v>
      </c>
      <c r="H57" s="108">
        <f>M55/1000</f>
        <v>0.227</v>
      </c>
      <c r="I57" s="108"/>
      <c r="J57" s="108" t="s">
        <v>44</v>
      </c>
      <c r="K57" s="108">
        <f>R50/1000</f>
        <v>0.19334</v>
      </c>
      <c r="L57" s="108"/>
      <c r="M57" s="78" t="s">
        <v>44</v>
      </c>
      <c r="N57" s="78">
        <f>M56/1000</f>
        <v>0.03</v>
      </c>
      <c r="O57" s="78"/>
      <c r="P57" s="7" t="s">
        <v>3</v>
      </c>
      <c r="Q57" s="7" t="s">
        <v>26</v>
      </c>
      <c r="R57" s="108">
        <f>1-(H57+K57+N57)</f>
        <v>0.5496599999999999</v>
      </c>
      <c r="S57" s="107"/>
      <c r="T57" s="84" t="s">
        <v>97</v>
      </c>
    </row>
    <row r="58" spans="1:14" ht="16.5" customHeight="1">
      <c r="A58" s="7" t="s">
        <v>85</v>
      </c>
      <c r="B58" s="7" t="s">
        <v>98</v>
      </c>
      <c r="F58" s="108">
        <f>R57</f>
        <v>0.5496599999999999</v>
      </c>
      <c r="G58" s="78"/>
      <c r="H58" s="82" t="s">
        <v>28</v>
      </c>
      <c r="I58" s="108">
        <f>ROUND(R43/100,3)</f>
        <v>0.437</v>
      </c>
      <c r="J58" s="78"/>
      <c r="K58" s="78" t="s">
        <v>26</v>
      </c>
      <c r="L58" s="108">
        <f>ROUND(F58*I58,3)</f>
        <v>0.24</v>
      </c>
      <c r="M58" s="108"/>
      <c r="N58" s="84" t="s">
        <v>97</v>
      </c>
    </row>
    <row r="59" spans="1:14" ht="16.5" customHeight="1">
      <c r="A59" s="7" t="s">
        <v>85</v>
      </c>
      <c r="B59" s="7" t="s">
        <v>99</v>
      </c>
      <c r="F59" s="108">
        <f>R57</f>
        <v>0.5496599999999999</v>
      </c>
      <c r="G59" s="78"/>
      <c r="H59" s="78" t="s">
        <v>75</v>
      </c>
      <c r="I59" s="108">
        <f>L58</f>
        <v>0.24</v>
      </c>
      <c r="J59" s="78"/>
      <c r="K59" s="78" t="s">
        <v>26</v>
      </c>
      <c r="L59" s="108">
        <f>ROUND(F59-I59,3)</f>
        <v>0.31</v>
      </c>
      <c r="M59" s="78"/>
      <c r="N59" s="84" t="s">
        <v>97</v>
      </c>
    </row>
    <row r="60" spans="1:17" ht="21" customHeight="1">
      <c r="A60" s="7" t="s">
        <v>85</v>
      </c>
      <c r="B60" s="7" t="s">
        <v>100</v>
      </c>
      <c r="F60" s="108">
        <f>L58</f>
        <v>0.24</v>
      </c>
      <c r="G60" s="78"/>
      <c r="H60" s="82" t="s">
        <v>28</v>
      </c>
      <c r="I60" s="107">
        <f>G8</f>
        <v>2.58</v>
      </c>
      <c r="J60" s="78"/>
      <c r="K60" s="82" t="s">
        <v>28</v>
      </c>
      <c r="L60" s="78">
        <v>1000</v>
      </c>
      <c r="M60" s="78"/>
      <c r="N60" s="78" t="s">
        <v>26</v>
      </c>
      <c r="O60" s="79">
        <f>ROUND(F60*I60*L60,0)</f>
        <v>619</v>
      </c>
      <c r="P60" s="79"/>
      <c r="Q60" s="7" t="s">
        <v>89</v>
      </c>
    </row>
    <row r="61" spans="1:17" ht="21" customHeight="1">
      <c r="A61" s="7" t="s">
        <v>85</v>
      </c>
      <c r="B61" s="7" t="s">
        <v>101</v>
      </c>
      <c r="F61" s="108">
        <f>L59</f>
        <v>0.31</v>
      </c>
      <c r="G61" s="78"/>
      <c r="H61" s="82" t="s">
        <v>28</v>
      </c>
      <c r="I61" s="107">
        <f>G9</f>
        <v>2.7</v>
      </c>
      <c r="J61" s="78"/>
      <c r="K61" s="82" t="s">
        <v>28</v>
      </c>
      <c r="L61" s="78">
        <v>1000</v>
      </c>
      <c r="M61" s="78"/>
      <c r="N61" s="78" t="s">
        <v>26</v>
      </c>
      <c r="O61" s="79">
        <f>ROUND(F61*I61*L61,0)</f>
        <v>837</v>
      </c>
      <c r="P61" s="79"/>
      <c r="Q61" s="7" t="s">
        <v>89</v>
      </c>
    </row>
    <row r="62" spans="1:14" ht="22.5" customHeight="1">
      <c r="A62" s="7" t="s">
        <v>85</v>
      </c>
      <c r="B62" s="7" t="s">
        <v>102</v>
      </c>
      <c r="F62" s="79">
        <f>M54</f>
        <v>691</v>
      </c>
      <c r="G62" s="78"/>
      <c r="H62" s="82" t="s">
        <v>28</v>
      </c>
      <c r="I62" s="78">
        <v>0.012</v>
      </c>
      <c r="J62" s="78"/>
      <c r="K62" s="78" t="s">
        <v>26</v>
      </c>
      <c r="L62" s="107">
        <f>F62*I62</f>
        <v>8.292</v>
      </c>
      <c r="M62" s="107"/>
      <c r="N62" s="7" t="s">
        <v>89</v>
      </c>
    </row>
    <row r="63" ht="27.75" customHeight="1"/>
    <row r="64" ht="16.5" customHeight="1">
      <c r="A64" s="7" t="s">
        <v>103</v>
      </c>
    </row>
    <row r="65" ht="16.5" customHeight="1">
      <c r="A65" s="7" t="s">
        <v>104</v>
      </c>
    </row>
    <row r="66" ht="16.5" customHeight="1">
      <c r="A66" s="84" t="s">
        <v>105</v>
      </c>
    </row>
    <row r="67" spans="1:20" ht="19.5" customHeight="1">
      <c r="A67" s="31" t="s">
        <v>106</v>
      </c>
      <c r="B67" s="109"/>
      <c r="C67" s="32" t="s">
        <v>47</v>
      </c>
      <c r="D67" s="109"/>
      <c r="E67" s="32" t="s">
        <v>107</v>
      </c>
      <c r="F67" s="109"/>
      <c r="G67" s="32" t="s">
        <v>66</v>
      </c>
      <c r="H67" s="109"/>
      <c r="I67" s="86" t="s">
        <v>108</v>
      </c>
      <c r="J67" s="86"/>
      <c r="K67" s="86"/>
      <c r="L67" s="86"/>
      <c r="M67" s="86"/>
      <c r="N67" s="86"/>
      <c r="O67" s="86"/>
      <c r="P67" s="86"/>
      <c r="Q67" s="86"/>
      <c r="R67" s="87"/>
      <c r="S67" s="32" t="s">
        <v>69</v>
      </c>
      <c r="T67" s="109"/>
    </row>
    <row r="68" spans="1:20" ht="19.5" customHeight="1">
      <c r="A68" s="71"/>
      <c r="B68" s="88"/>
      <c r="C68" s="72" t="s">
        <v>109</v>
      </c>
      <c r="D68" s="88"/>
      <c r="E68" s="89"/>
      <c r="F68" s="88"/>
      <c r="G68" s="72" t="s">
        <v>110</v>
      </c>
      <c r="H68" s="88"/>
      <c r="I68" s="72" t="s">
        <v>111</v>
      </c>
      <c r="J68" s="88"/>
      <c r="K68" s="72" t="s">
        <v>67</v>
      </c>
      <c r="L68" s="88"/>
      <c r="M68" s="72" t="s">
        <v>112</v>
      </c>
      <c r="N68" s="88"/>
      <c r="O68" s="72" t="s">
        <v>113</v>
      </c>
      <c r="P68" s="88"/>
      <c r="Q68" s="72" t="s">
        <v>114</v>
      </c>
      <c r="R68" s="88"/>
      <c r="S68" s="89"/>
      <c r="T68" s="88"/>
    </row>
    <row r="69" spans="1:20" ht="22.5" customHeight="1">
      <c r="A69" s="71">
        <v>1</v>
      </c>
      <c r="B69" s="110" t="s">
        <v>97</v>
      </c>
      <c r="C69" s="111"/>
      <c r="D69" s="112"/>
      <c r="E69" s="51"/>
      <c r="F69" s="112"/>
      <c r="G69" s="51"/>
      <c r="H69" s="112"/>
      <c r="I69" s="94">
        <f>M54</f>
        <v>691</v>
      </c>
      <c r="J69" s="88"/>
      <c r="K69" s="94">
        <f>O53</f>
        <v>193.34</v>
      </c>
      <c r="L69" s="88"/>
      <c r="M69" s="94">
        <f>O60</f>
        <v>619</v>
      </c>
      <c r="N69" s="88"/>
      <c r="O69" s="94">
        <f>O61</f>
        <v>837</v>
      </c>
      <c r="P69" s="88"/>
      <c r="Q69" s="92">
        <f>L62</f>
        <v>8.292</v>
      </c>
      <c r="R69" s="88"/>
      <c r="S69" s="111"/>
      <c r="T69" s="112"/>
    </row>
    <row r="70" spans="1:20" ht="22.5" customHeight="1">
      <c r="A70" s="71" t="s">
        <v>115</v>
      </c>
      <c r="B70" s="88"/>
      <c r="C70" s="94">
        <f>L53</f>
        <v>28</v>
      </c>
      <c r="D70" s="88"/>
      <c r="E70" s="94">
        <f>G5</f>
        <v>15</v>
      </c>
      <c r="F70" s="88"/>
      <c r="G70" s="90">
        <f>R43</f>
        <v>43.7</v>
      </c>
      <c r="H70" s="88"/>
      <c r="I70" s="113">
        <f>I69*0.04</f>
        <v>27.64</v>
      </c>
      <c r="J70" s="114"/>
      <c r="K70" s="113">
        <f>K69*0.04</f>
        <v>7.7336</v>
      </c>
      <c r="L70" s="114"/>
      <c r="M70" s="113">
        <f>M69*0.04</f>
        <v>24.76</v>
      </c>
      <c r="N70" s="114"/>
      <c r="O70" s="113">
        <f>O69*0.04</f>
        <v>33.480000000000004</v>
      </c>
      <c r="P70" s="114"/>
      <c r="Q70" s="113">
        <f>Q69*0.04</f>
        <v>0.33168</v>
      </c>
      <c r="R70" s="114"/>
      <c r="S70" s="89"/>
      <c r="T70" s="88"/>
    </row>
    <row r="71" ht="19.5" customHeight="1">
      <c r="A71" s="84" t="s">
        <v>116</v>
      </c>
    </row>
    <row r="72" spans="1:22" ht="27.75" customHeight="1">
      <c r="A72" s="85" t="s">
        <v>117</v>
      </c>
      <c r="B72" s="86"/>
      <c r="C72" s="86"/>
      <c r="D72" s="86"/>
      <c r="E72" s="87"/>
      <c r="F72" s="86" t="s">
        <v>118</v>
      </c>
      <c r="G72" s="86"/>
      <c r="H72" s="86"/>
      <c r="I72" s="86"/>
      <c r="J72" s="87"/>
      <c r="K72" s="86" t="s">
        <v>119</v>
      </c>
      <c r="L72" s="86"/>
      <c r="M72" s="86"/>
      <c r="N72" s="86"/>
      <c r="O72" s="87"/>
      <c r="P72" s="86" t="s">
        <v>120</v>
      </c>
      <c r="Q72" s="86"/>
      <c r="R72" s="86"/>
      <c r="S72" s="86"/>
      <c r="T72" s="87"/>
      <c r="V72" s="105">
        <f>K246</f>
        <v>180.7</v>
      </c>
    </row>
    <row r="73" spans="1:22" ht="24.75" customHeight="1">
      <c r="A73" s="139">
        <v>19</v>
      </c>
      <c r="B73" s="72"/>
      <c r="C73" s="72"/>
      <c r="D73" s="72"/>
      <c r="E73" s="88"/>
      <c r="F73" s="72">
        <v>6.8</v>
      </c>
      <c r="G73" s="72"/>
      <c r="H73" s="72"/>
      <c r="I73" s="72"/>
      <c r="J73" s="88"/>
      <c r="K73" s="72" t="s">
        <v>121</v>
      </c>
      <c r="L73" s="72"/>
      <c r="M73" s="72"/>
      <c r="N73" s="72"/>
      <c r="O73" s="88"/>
      <c r="P73" s="89"/>
      <c r="Q73" s="72"/>
      <c r="R73" s="72"/>
      <c r="S73" s="72"/>
      <c r="T73" s="88"/>
      <c r="V73" s="115">
        <f>G246</f>
        <v>40.95</v>
      </c>
    </row>
    <row r="74" ht="16.5" customHeight="1"/>
    <row r="75" ht="16.5" customHeight="1">
      <c r="B75" s="7" t="s">
        <v>122</v>
      </c>
    </row>
    <row r="76" spans="1:20" ht="16.5" customHeight="1">
      <c r="A76" s="85" t="s">
        <v>71</v>
      </c>
      <c r="B76" s="86"/>
      <c r="C76" s="86"/>
      <c r="D76" s="86"/>
      <c r="E76" s="87"/>
      <c r="F76" s="86" t="s">
        <v>72</v>
      </c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7"/>
      <c r="R76" s="86" t="s">
        <v>73</v>
      </c>
      <c r="S76" s="86"/>
      <c r="T76" s="87"/>
    </row>
    <row r="77" spans="1:20" ht="16.5" customHeight="1">
      <c r="A77" s="71" t="s">
        <v>123</v>
      </c>
      <c r="B77" s="72"/>
      <c r="C77" s="72"/>
      <c r="D77" s="86"/>
      <c r="E77" s="88"/>
      <c r="F77" s="89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88"/>
      <c r="R77" s="90">
        <f>R43</f>
        <v>43.7</v>
      </c>
      <c r="S77" s="72"/>
      <c r="T77" s="88"/>
    </row>
    <row r="78" spans="1:20" ht="16.5" customHeight="1">
      <c r="A78" s="71" t="s">
        <v>83</v>
      </c>
      <c r="B78" s="72"/>
      <c r="C78" s="72"/>
      <c r="D78" s="86"/>
      <c r="E78" s="88"/>
      <c r="F78" s="72" t="s">
        <v>124</v>
      </c>
      <c r="G78" s="92"/>
      <c r="H78" s="72"/>
      <c r="I78" s="72"/>
      <c r="J78" s="72"/>
      <c r="K78" s="72"/>
      <c r="L78" s="72"/>
      <c r="M78" s="72"/>
      <c r="N78" s="72"/>
      <c r="O78" s="72"/>
      <c r="P78" s="72"/>
      <c r="Q78" s="88"/>
      <c r="R78" s="92">
        <v>0</v>
      </c>
      <c r="S78" s="94"/>
      <c r="T78" s="95"/>
    </row>
    <row r="79" spans="1:20" ht="16.5" customHeight="1">
      <c r="A79" s="71" t="s">
        <v>78</v>
      </c>
      <c r="B79" s="72"/>
      <c r="C79" s="72"/>
      <c r="D79" s="86"/>
      <c r="E79" s="96"/>
      <c r="F79" s="72" t="s">
        <v>48</v>
      </c>
      <c r="G79" s="72">
        <f>Q5</f>
        <v>4.5</v>
      </c>
      <c r="H79" s="72"/>
      <c r="I79" s="72" t="s">
        <v>75</v>
      </c>
      <c r="J79" s="72">
        <f>F73</f>
        <v>6.8</v>
      </c>
      <c r="K79" s="72"/>
      <c r="L79" s="72" t="s">
        <v>3</v>
      </c>
      <c r="M79" s="91" t="s">
        <v>28</v>
      </c>
      <c r="N79" s="72">
        <v>0.75</v>
      </c>
      <c r="O79" s="72"/>
      <c r="P79" s="72"/>
      <c r="Q79" s="77"/>
      <c r="R79" s="92">
        <f>ROUND((G79-J79)*N79,2)</f>
        <v>-1.73</v>
      </c>
      <c r="S79" s="94"/>
      <c r="T79" s="95"/>
    </row>
    <row r="80" spans="1:20" ht="16.5" customHeight="1">
      <c r="A80" s="71" t="s">
        <v>81</v>
      </c>
      <c r="B80" s="72"/>
      <c r="C80" s="72"/>
      <c r="D80" s="86"/>
      <c r="E80" s="88"/>
      <c r="F80" s="116"/>
      <c r="G80" s="90">
        <f>R77</f>
        <v>43.7</v>
      </c>
      <c r="H80" s="72"/>
      <c r="I80" s="72" t="s">
        <v>44</v>
      </c>
      <c r="J80" s="92">
        <f>R78</f>
        <v>0</v>
      </c>
      <c r="K80" s="72"/>
      <c r="L80" s="72" t="s">
        <v>44</v>
      </c>
      <c r="M80" s="72"/>
      <c r="N80" s="92">
        <f>R79</f>
        <v>-1.73</v>
      </c>
      <c r="O80" s="92"/>
      <c r="P80" s="117"/>
      <c r="Q80" s="77"/>
      <c r="R80" s="90">
        <f>ROUND(G80+J80+N80,1)</f>
        <v>42</v>
      </c>
      <c r="S80" s="94"/>
      <c r="T80" s="95"/>
    </row>
    <row r="81" ht="22.5" customHeight="1">
      <c r="B81" s="7" t="s">
        <v>125</v>
      </c>
    </row>
    <row r="82" spans="1:20" ht="16.5" customHeight="1">
      <c r="A82" s="85" t="s">
        <v>71</v>
      </c>
      <c r="B82" s="86"/>
      <c r="C82" s="86"/>
      <c r="D82" s="86"/>
      <c r="E82" s="87"/>
      <c r="F82" s="86" t="s">
        <v>72</v>
      </c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7"/>
      <c r="R82" s="86" t="s">
        <v>73</v>
      </c>
      <c r="S82" s="86"/>
      <c r="T82" s="87"/>
    </row>
    <row r="83" spans="1:20" ht="16.5" customHeight="1">
      <c r="A83" s="71" t="s">
        <v>123</v>
      </c>
      <c r="B83" s="72"/>
      <c r="C83" s="72"/>
      <c r="D83" s="86"/>
      <c r="E83" s="88"/>
      <c r="F83" s="89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88"/>
      <c r="R83" s="90">
        <f>R50</f>
        <v>193.34</v>
      </c>
      <c r="S83" s="72"/>
      <c r="T83" s="88"/>
    </row>
    <row r="84" spans="1:20" ht="16.5" customHeight="1">
      <c r="A84" s="71" t="s">
        <v>83</v>
      </c>
      <c r="B84" s="72"/>
      <c r="C84" s="72"/>
      <c r="D84" s="86"/>
      <c r="E84" s="88"/>
      <c r="F84" s="72" t="s">
        <v>48</v>
      </c>
      <c r="G84" s="94">
        <f>E70</f>
        <v>15</v>
      </c>
      <c r="H84" s="72" t="s">
        <v>75</v>
      </c>
      <c r="I84" s="72">
        <f>A73</f>
        <v>19</v>
      </c>
      <c r="J84" s="72" t="s">
        <v>3</v>
      </c>
      <c r="K84" s="91" t="s">
        <v>28</v>
      </c>
      <c r="L84" s="72">
        <v>-0.012</v>
      </c>
      <c r="M84" s="72"/>
      <c r="N84" s="91" t="s">
        <v>28</v>
      </c>
      <c r="O84" s="94">
        <f>R83</f>
        <v>193.34</v>
      </c>
      <c r="P84" s="72"/>
      <c r="Q84" s="100"/>
      <c r="R84" s="92">
        <f>ROUND((G84-I84)*L84*O84,2)</f>
        <v>9.28</v>
      </c>
      <c r="S84" s="94"/>
      <c r="T84" s="95"/>
    </row>
    <row r="85" spans="1:20" ht="16.5" customHeight="1">
      <c r="A85" s="71" t="s">
        <v>78</v>
      </c>
      <c r="B85" s="72"/>
      <c r="C85" s="72"/>
      <c r="D85" s="86"/>
      <c r="E85" s="96"/>
      <c r="F85" s="72" t="s">
        <v>48</v>
      </c>
      <c r="G85" s="72">
        <f>Q5</f>
        <v>4.5</v>
      </c>
      <c r="H85" s="72" t="s">
        <v>75</v>
      </c>
      <c r="I85" s="72">
        <f>F73</f>
        <v>6.8</v>
      </c>
      <c r="J85" s="72" t="s">
        <v>3</v>
      </c>
      <c r="K85" s="91" t="s">
        <v>28</v>
      </c>
      <c r="L85" s="72">
        <v>0.03</v>
      </c>
      <c r="M85" s="72"/>
      <c r="N85" s="91" t="s">
        <v>28</v>
      </c>
      <c r="O85" s="94">
        <f>R83</f>
        <v>193.34</v>
      </c>
      <c r="P85" s="72"/>
      <c r="Q85" s="77"/>
      <c r="R85" s="92">
        <f>ROUND((G85-I85)*L85*O85,2)</f>
        <v>-13.34</v>
      </c>
      <c r="S85" s="94"/>
      <c r="T85" s="95"/>
    </row>
    <row r="86" spans="1:20" ht="16.5" customHeight="1">
      <c r="A86" s="71" t="s">
        <v>66</v>
      </c>
      <c r="B86" s="72"/>
      <c r="C86" s="72"/>
      <c r="D86" s="86"/>
      <c r="E86" s="96"/>
      <c r="F86" s="72" t="s">
        <v>48</v>
      </c>
      <c r="G86" s="90">
        <f>R80</f>
        <v>42</v>
      </c>
      <c r="H86" s="72"/>
      <c r="I86" s="72" t="s">
        <v>75</v>
      </c>
      <c r="J86" s="90">
        <f>G80</f>
        <v>43.7</v>
      </c>
      <c r="K86" s="72"/>
      <c r="L86" s="72" t="s">
        <v>3</v>
      </c>
      <c r="M86" s="72"/>
      <c r="N86" s="91" t="s">
        <v>28</v>
      </c>
      <c r="O86" s="72">
        <f>1.5</f>
        <v>1.5</v>
      </c>
      <c r="P86" s="72"/>
      <c r="Q86" s="77"/>
      <c r="R86" s="92">
        <f>ROUND((G86-J86)*O86,2)</f>
        <v>-2.55</v>
      </c>
      <c r="S86" s="94"/>
      <c r="T86" s="95"/>
    </row>
    <row r="87" spans="1:20" ht="16.5" customHeight="1">
      <c r="A87" s="71" t="s">
        <v>67</v>
      </c>
      <c r="B87" s="72"/>
      <c r="C87" s="72"/>
      <c r="D87" s="86"/>
      <c r="E87" s="88"/>
      <c r="F87" s="116"/>
      <c r="G87" s="90">
        <f>R83</f>
        <v>193.34</v>
      </c>
      <c r="H87" s="72"/>
      <c r="I87" s="72" t="s">
        <v>44</v>
      </c>
      <c r="J87" s="92">
        <f>R84</f>
        <v>9.28</v>
      </c>
      <c r="K87" s="72"/>
      <c r="L87" s="72" t="s">
        <v>44</v>
      </c>
      <c r="M87" s="92">
        <f>R85</f>
        <v>-13.34</v>
      </c>
      <c r="N87" s="72"/>
      <c r="O87" s="92" t="s">
        <v>44</v>
      </c>
      <c r="P87" s="92">
        <f>R86</f>
        <v>-2.55</v>
      </c>
      <c r="Q87" s="118"/>
      <c r="R87" s="90">
        <f>ROUND(G87+J87+M87+P87,5)</f>
        <v>186.73</v>
      </c>
      <c r="S87" s="94"/>
      <c r="T87" s="95"/>
    </row>
    <row r="88" ht="22.5" customHeight="1">
      <c r="B88" s="7" t="s">
        <v>126</v>
      </c>
    </row>
    <row r="89" spans="1:18" ht="23.25" customHeight="1">
      <c r="A89" s="7" t="s">
        <v>85</v>
      </c>
      <c r="B89" s="7" t="s">
        <v>86</v>
      </c>
      <c r="F89" s="7" t="s">
        <v>34</v>
      </c>
      <c r="G89" s="7" t="s">
        <v>87</v>
      </c>
      <c r="L89" s="105">
        <f>C70</f>
        <v>28</v>
      </c>
      <c r="M89" s="84" t="s">
        <v>88</v>
      </c>
      <c r="O89" s="79">
        <f>R87</f>
        <v>186.73</v>
      </c>
      <c r="P89" s="83"/>
      <c r="Q89" s="7" t="s">
        <v>89</v>
      </c>
      <c r="R89" s="7" t="s">
        <v>90</v>
      </c>
    </row>
    <row r="90" spans="6:15" ht="23.25" customHeight="1">
      <c r="F90" s="7" t="s">
        <v>91</v>
      </c>
      <c r="G90" s="79">
        <f>O89</f>
        <v>186.73</v>
      </c>
      <c r="H90" s="78"/>
      <c r="I90" s="106" t="s">
        <v>76</v>
      </c>
      <c r="J90" s="107">
        <f>ROUND(L89/100,2)</f>
        <v>0.28</v>
      </c>
      <c r="K90" s="107"/>
      <c r="L90" s="7" t="s">
        <v>26</v>
      </c>
      <c r="M90" s="79">
        <f>ROUND(G90/J90,0)</f>
        <v>667</v>
      </c>
      <c r="N90" s="79"/>
      <c r="O90" s="7" t="s">
        <v>89</v>
      </c>
    </row>
    <row r="91" spans="1:15" ht="23.25" customHeight="1">
      <c r="A91" s="7" t="s">
        <v>85</v>
      </c>
      <c r="B91" s="7" t="s">
        <v>92</v>
      </c>
      <c r="F91" s="7" t="s">
        <v>91</v>
      </c>
      <c r="G91" s="79">
        <f>M90</f>
        <v>667</v>
      </c>
      <c r="H91" s="78"/>
      <c r="I91" s="106" t="s">
        <v>76</v>
      </c>
      <c r="J91" s="78">
        <f>J55</f>
        <v>3.05</v>
      </c>
      <c r="K91" s="78"/>
      <c r="L91" s="7" t="s">
        <v>26</v>
      </c>
      <c r="M91" s="79">
        <f>ROUND(G91/J91,0)</f>
        <v>219</v>
      </c>
      <c r="N91" s="79"/>
      <c r="O91" s="7" t="s">
        <v>93</v>
      </c>
    </row>
    <row r="92" spans="1:15" ht="23.25" customHeight="1">
      <c r="A92" s="7" t="s">
        <v>85</v>
      </c>
      <c r="B92" s="7" t="s">
        <v>94</v>
      </c>
      <c r="M92" s="78">
        <f>M56</f>
        <v>30</v>
      </c>
      <c r="N92" s="78"/>
      <c r="O92" s="7" t="s">
        <v>93</v>
      </c>
    </row>
    <row r="93" spans="1:20" ht="27" customHeight="1">
      <c r="A93" s="7" t="s">
        <v>85</v>
      </c>
      <c r="B93" s="7" t="s">
        <v>95</v>
      </c>
      <c r="F93" s="84" t="s">
        <v>96</v>
      </c>
      <c r="G93" s="7" t="s">
        <v>48</v>
      </c>
      <c r="H93" s="108">
        <f>M91/1000</f>
        <v>0.219</v>
      </c>
      <c r="I93" s="108"/>
      <c r="J93" s="108" t="s">
        <v>44</v>
      </c>
      <c r="K93" s="108">
        <f>O89/1000</f>
        <v>0.18672999999999998</v>
      </c>
      <c r="L93" s="108"/>
      <c r="M93" s="78" t="s">
        <v>44</v>
      </c>
      <c r="N93" s="78">
        <f>M92/1000</f>
        <v>0.03</v>
      </c>
      <c r="O93" s="78"/>
      <c r="P93" s="7" t="s">
        <v>3</v>
      </c>
      <c r="Q93" s="7" t="s">
        <v>26</v>
      </c>
      <c r="R93" s="108">
        <f>1-(H93+K93+N93)</f>
        <v>0.56427</v>
      </c>
      <c r="S93" s="107"/>
      <c r="T93" s="84" t="s">
        <v>97</v>
      </c>
    </row>
    <row r="94" spans="1:14" ht="27" customHeight="1">
      <c r="A94" s="7" t="s">
        <v>85</v>
      </c>
      <c r="B94" s="7" t="s">
        <v>98</v>
      </c>
      <c r="F94" s="108">
        <f>R93</f>
        <v>0.56427</v>
      </c>
      <c r="G94" s="78"/>
      <c r="H94" s="82" t="s">
        <v>28</v>
      </c>
      <c r="I94" s="108">
        <f>ROUND(R80/100,3)</f>
        <v>0.42</v>
      </c>
      <c r="J94" s="78"/>
      <c r="K94" s="78" t="s">
        <v>26</v>
      </c>
      <c r="L94" s="108">
        <f>ROUND(F94*I94,3)</f>
        <v>0.237</v>
      </c>
      <c r="M94" s="108"/>
      <c r="N94" s="84" t="s">
        <v>97</v>
      </c>
    </row>
    <row r="95" spans="1:14" ht="27" customHeight="1">
      <c r="A95" s="7" t="s">
        <v>85</v>
      </c>
      <c r="B95" s="7" t="s">
        <v>99</v>
      </c>
      <c r="F95" s="108">
        <f>R93</f>
        <v>0.56427</v>
      </c>
      <c r="G95" s="78"/>
      <c r="H95" s="78" t="s">
        <v>75</v>
      </c>
      <c r="I95" s="108">
        <f>L94</f>
        <v>0.237</v>
      </c>
      <c r="J95" s="78"/>
      <c r="K95" s="78" t="s">
        <v>26</v>
      </c>
      <c r="L95" s="108">
        <f>ROUND(F95-I95,3)</f>
        <v>0.327</v>
      </c>
      <c r="M95" s="78"/>
      <c r="N95" s="84" t="s">
        <v>97</v>
      </c>
    </row>
    <row r="96" spans="1:17" ht="27" customHeight="1">
      <c r="A96" s="7" t="s">
        <v>85</v>
      </c>
      <c r="B96" s="7" t="s">
        <v>100</v>
      </c>
      <c r="F96" s="108">
        <f>L94</f>
        <v>0.237</v>
      </c>
      <c r="G96" s="78"/>
      <c r="H96" s="82" t="s">
        <v>28</v>
      </c>
      <c r="I96" s="78">
        <f>I60</f>
        <v>2.58</v>
      </c>
      <c r="J96" s="78"/>
      <c r="K96" s="82" t="s">
        <v>28</v>
      </c>
      <c r="L96" s="78">
        <v>1000</v>
      </c>
      <c r="M96" s="78"/>
      <c r="N96" s="78" t="s">
        <v>26</v>
      </c>
      <c r="O96" s="79">
        <f>ROUND(F96*I96*L96,0)</f>
        <v>611</v>
      </c>
      <c r="P96" s="79"/>
      <c r="Q96" s="7" t="s">
        <v>89</v>
      </c>
    </row>
    <row r="97" spans="1:17" ht="27" customHeight="1">
      <c r="A97" s="7" t="s">
        <v>85</v>
      </c>
      <c r="B97" s="7" t="s">
        <v>101</v>
      </c>
      <c r="F97" s="108">
        <f>L95</f>
        <v>0.327</v>
      </c>
      <c r="G97" s="78"/>
      <c r="H97" s="82" t="s">
        <v>28</v>
      </c>
      <c r="I97" s="107">
        <f>I61</f>
        <v>2.7</v>
      </c>
      <c r="J97" s="78"/>
      <c r="K97" s="82" t="s">
        <v>28</v>
      </c>
      <c r="L97" s="78">
        <v>1000</v>
      </c>
      <c r="M97" s="78"/>
      <c r="N97" s="78" t="s">
        <v>26</v>
      </c>
      <c r="O97" s="79">
        <f>ROUND(F97*I97*L97,0)</f>
        <v>883</v>
      </c>
      <c r="P97" s="79"/>
      <c r="Q97" s="7" t="s">
        <v>89</v>
      </c>
    </row>
    <row r="98" spans="1:14" ht="27" customHeight="1">
      <c r="A98" s="7" t="s">
        <v>85</v>
      </c>
      <c r="B98" s="7" t="s">
        <v>102</v>
      </c>
      <c r="F98" s="79">
        <f>M90</f>
        <v>667</v>
      </c>
      <c r="G98" s="78"/>
      <c r="H98" s="82" t="s">
        <v>28</v>
      </c>
      <c r="I98" s="78">
        <f>I62</f>
        <v>0.012</v>
      </c>
      <c r="J98" s="78"/>
      <c r="K98" s="78" t="s">
        <v>26</v>
      </c>
      <c r="L98" s="107">
        <f>F98*I98</f>
        <v>8.004</v>
      </c>
      <c r="M98" s="107"/>
      <c r="N98" s="7" t="s">
        <v>89</v>
      </c>
    </row>
    <row r="99" ht="24.75" customHeight="1"/>
    <row r="100" ht="24.75" customHeight="1">
      <c r="A100" s="84" t="s">
        <v>127</v>
      </c>
    </row>
    <row r="101" ht="22.5" customHeight="1">
      <c r="A101" s="84" t="s">
        <v>105</v>
      </c>
    </row>
    <row r="102" spans="1:20" ht="21" customHeight="1">
      <c r="A102" s="31" t="s">
        <v>106</v>
      </c>
      <c r="B102" s="109"/>
      <c r="C102" s="32" t="s">
        <v>47</v>
      </c>
      <c r="D102" s="109"/>
      <c r="E102" s="32" t="s">
        <v>107</v>
      </c>
      <c r="F102" s="109"/>
      <c r="G102" s="32" t="s">
        <v>66</v>
      </c>
      <c r="H102" s="109"/>
      <c r="I102" s="86" t="s">
        <v>108</v>
      </c>
      <c r="J102" s="86"/>
      <c r="K102" s="86"/>
      <c r="L102" s="86"/>
      <c r="M102" s="86"/>
      <c r="N102" s="86"/>
      <c r="O102" s="86"/>
      <c r="P102" s="86"/>
      <c r="Q102" s="86"/>
      <c r="R102" s="87"/>
      <c r="S102" s="32" t="s">
        <v>69</v>
      </c>
      <c r="T102" s="109"/>
    </row>
    <row r="103" spans="1:20" ht="21" customHeight="1">
      <c r="A103" s="71"/>
      <c r="B103" s="88"/>
      <c r="C103" s="72" t="s">
        <v>109</v>
      </c>
      <c r="D103" s="88"/>
      <c r="E103" s="89"/>
      <c r="F103" s="88"/>
      <c r="G103" s="72" t="s">
        <v>110</v>
      </c>
      <c r="H103" s="88"/>
      <c r="I103" s="72" t="s">
        <v>111</v>
      </c>
      <c r="J103" s="88"/>
      <c r="K103" s="72" t="s">
        <v>67</v>
      </c>
      <c r="L103" s="88"/>
      <c r="M103" s="72" t="s">
        <v>112</v>
      </c>
      <c r="N103" s="88"/>
      <c r="O103" s="72" t="s">
        <v>113</v>
      </c>
      <c r="P103" s="88"/>
      <c r="Q103" s="72" t="s">
        <v>114</v>
      </c>
      <c r="R103" s="88"/>
      <c r="S103" s="89"/>
      <c r="T103" s="88"/>
    </row>
    <row r="104" spans="1:20" ht="21" customHeight="1">
      <c r="A104" s="71">
        <v>1</v>
      </c>
      <c r="B104" s="110" t="s">
        <v>97</v>
      </c>
      <c r="C104" s="111"/>
      <c r="D104" s="112"/>
      <c r="E104" s="51"/>
      <c r="F104" s="112"/>
      <c r="G104" s="51"/>
      <c r="H104" s="112"/>
      <c r="I104" s="94">
        <f>M90</f>
        <v>667</v>
      </c>
      <c r="J104" s="88"/>
      <c r="K104" s="94">
        <f>O89</f>
        <v>186.73</v>
      </c>
      <c r="L104" s="88"/>
      <c r="M104" s="94">
        <f>O96</f>
        <v>611</v>
      </c>
      <c r="N104" s="88"/>
      <c r="O104" s="94">
        <f>O97</f>
        <v>883</v>
      </c>
      <c r="P104" s="88"/>
      <c r="Q104" s="92">
        <f>L98</f>
        <v>8.004</v>
      </c>
      <c r="R104" s="88"/>
      <c r="S104" s="111"/>
      <c r="T104" s="112"/>
    </row>
    <row r="105" spans="1:20" ht="21" customHeight="1">
      <c r="A105" s="71" t="s">
        <v>115</v>
      </c>
      <c r="B105" s="88"/>
      <c r="C105" s="94">
        <f>L89</f>
        <v>28</v>
      </c>
      <c r="D105" s="88"/>
      <c r="E105" s="72">
        <f>E70</f>
        <v>15</v>
      </c>
      <c r="F105" s="88"/>
      <c r="G105" s="94">
        <f>R80</f>
        <v>42</v>
      </c>
      <c r="H105" s="88"/>
      <c r="I105" s="113">
        <f>I104*0.04</f>
        <v>26.68</v>
      </c>
      <c r="J105" s="114"/>
      <c r="K105" s="113">
        <f>K104*0.04</f>
        <v>7.4692</v>
      </c>
      <c r="L105" s="114"/>
      <c r="M105" s="113">
        <f>M104*0.04</f>
        <v>24.44</v>
      </c>
      <c r="N105" s="114"/>
      <c r="O105" s="113">
        <f>O104*0.04</f>
        <v>35.32</v>
      </c>
      <c r="P105" s="114"/>
      <c r="Q105" s="113">
        <f>Q104*0.04</f>
        <v>0.32016</v>
      </c>
      <c r="R105" s="114"/>
      <c r="S105" s="89"/>
      <c r="T105" s="88"/>
    </row>
    <row r="106" ht="23.25" customHeight="1">
      <c r="A106" s="84" t="s">
        <v>116</v>
      </c>
    </row>
    <row r="107" spans="1:20" ht="16.5" customHeight="1">
      <c r="A107" s="85" t="s">
        <v>117</v>
      </c>
      <c r="B107" s="86"/>
      <c r="C107" s="86"/>
      <c r="D107" s="86"/>
      <c r="E107" s="87"/>
      <c r="F107" s="86" t="s">
        <v>118</v>
      </c>
      <c r="G107" s="86"/>
      <c r="H107" s="86"/>
      <c r="I107" s="86"/>
      <c r="J107" s="87"/>
      <c r="K107" s="86" t="s">
        <v>119</v>
      </c>
      <c r="L107" s="86"/>
      <c r="M107" s="86"/>
      <c r="N107" s="86"/>
      <c r="O107" s="87"/>
      <c r="P107" s="86" t="s">
        <v>120</v>
      </c>
      <c r="Q107" s="86"/>
      <c r="R107" s="86"/>
      <c r="S107" s="86"/>
      <c r="T107" s="87"/>
    </row>
    <row r="108" spans="1:20" ht="16.5" customHeight="1">
      <c r="A108" s="139">
        <v>16.5</v>
      </c>
      <c r="B108" s="90"/>
      <c r="C108" s="72"/>
      <c r="D108" s="72"/>
      <c r="E108" s="88"/>
      <c r="F108" s="90">
        <v>5.9</v>
      </c>
      <c r="G108" s="72"/>
      <c r="H108" s="72"/>
      <c r="I108" s="72"/>
      <c r="J108" s="88"/>
      <c r="K108" s="72" t="s">
        <v>121</v>
      </c>
      <c r="L108" s="72"/>
      <c r="M108" s="72"/>
      <c r="N108" s="72"/>
      <c r="O108" s="88"/>
      <c r="P108" s="89"/>
      <c r="Q108" s="72"/>
      <c r="R108" s="72"/>
      <c r="S108" s="72"/>
      <c r="T108" s="88"/>
    </row>
    <row r="109" ht="23.25" customHeight="1">
      <c r="A109" s="84" t="s">
        <v>128</v>
      </c>
    </row>
    <row r="110" ht="16.5" customHeight="1">
      <c r="B110" s="7" t="s">
        <v>122</v>
      </c>
    </row>
    <row r="111" spans="1:20" ht="16.5" customHeight="1">
      <c r="A111" s="85" t="s">
        <v>71</v>
      </c>
      <c r="B111" s="86"/>
      <c r="C111" s="86"/>
      <c r="D111" s="86"/>
      <c r="E111" s="87"/>
      <c r="F111" s="86" t="s">
        <v>72</v>
      </c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7"/>
      <c r="R111" s="86" t="s">
        <v>73</v>
      </c>
      <c r="S111" s="86"/>
      <c r="T111" s="87"/>
    </row>
    <row r="112" spans="1:20" ht="16.5" customHeight="1">
      <c r="A112" s="71" t="s">
        <v>129</v>
      </c>
      <c r="B112" s="72"/>
      <c r="C112" s="72"/>
      <c r="D112" s="86"/>
      <c r="E112" s="88"/>
      <c r="F112" s="89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88"/>
      <c r="R112" s="90">
        <f>R80</f>
        <v>42</v>
      </c>
      <c r="S112" s="72"/>
      <c r="T112" s="88"/>
    </row>
    <row r="113" spans="1:20" ht="16.5" customHeight="1">
      <c r="A113" s="71" t="s">
        <v>83</v>
      </c>
      <c r="B113" s="72"/>
      <c r="C113" s="72"/>
      <c r="D113" s="86"/>
      <c r="E113" s="88"/>
      <c r="F113" s="72" t="s">
        <v>124</v>
      </c>
      <c r="G113" s="92"/>
      <c r="H113" s="72"/>
      <c r="I113" s="72"/>
      <c r="J113" s="72"/>
      <c r="K113" s="72"/>
      <c r="L113" s="72"/>
      <c r="M113" s="72"/>
      <c r="N113" s="72"/>
      <c r="O113" s="72"/>
      <c r="P113" s="72"/>
      <c r="Q113" s="88"/>
      <c r="R113" s="92">
        <v>0</v>
      </c>
      <c r="S113" s="94"/>
      <c r="T113" s="95"/>
    </row>
    <row r="114" spans="1:20" ht="16.5" customHeight="1">
      <c r="A114" s="71" t="s">
        <v>78</v>
      </c>
      <c r="B114" s="72"/>
      <c r="C114" s="72"/>
      <c r="D114" s="86"/>
      <c r="E114" s="96"/>
      <c r="F114" s="72" t="s">
        <v>48</v>
      </c>
      <c r="G114" s="72">
        <f>G85</f>
        <v>4.5</v>
      </c>
      <c r="H114" s="72"/>
      <c r="I114" s="72" t="s">
        <v>75</v>
      </c>
      <c r="J114" s="72">
        <f>F108</f>
        <v>5.9</v>
      </c>
      <c r="K114" s="72"/>
      <c r="L114" s="72" t="s">
        <v>3</v>
      </c>
      <c r="M114" s="91" t="s">
        <v>28</v>
      </c>
      <c r="N114" s="72">
        <v>0.75</v>
      </c>
      <c r="O114" s="72"/>
      <c r="P114" s="72"/>
      <c r="Q114" s="77"/>
      <c r="R114" s="92">
        <f>ROUND((G114-J114)*N114,2)</f>
        <v>-1.05</v>
      </c>
      <c r="S114" s="94"/>
      <c r="T114" s="95"/>
    </row>
    <row r="115" spans="1:20" ht="16.5" customHeight="1">
      <c r="A115" s="71" t="s">
        <v>81</v>
      </c>
      <c r="B115" s="72"/>
      <c r="C115" s="72"/>
      <c r="D115" s="86"/>
      <c r="E115" s="88"/>
      <c r="F115" s="116"/>
      <c r="G115" s="90">
        <f>R112</f>
        <v>42</v>
      </c>
      <c r="H115" s="72"/>
      <c r="I115" s="72" t="s">
        <v>44</v>
      </c>
      <c r="J115" s="92">
        <f>R113</f>
        <v>0</v>
      </c>
      <c r="K115" s="72"/>
      <c r="L115" s="72" t="s">
        <v>44</v>
      </c>
      <c r="M115" s="72"/>
      <c r="N115" s="92">
        <f>R114</f>
        <v>-1.05</v>
      </c>
      <c r="O115" s="92"/>
      <c r="P115" s="117"/>
      <c r="Q115" s="77"/>
      <c r="R115" s="90">
        <f>ROUND(G115+J115+N115,2)</f>
        <v>40.95</v>
      </c>
      <c r="S115" s="94"/>
      <c r="T115" s="95"/>
    </row>
    <row r="116" ht="20.25" customHeight="1">
      <c r="B116" s="7" t="s">
        <v>125</v>
      </c>
    </row>
    <row r="117" spans="1:20" ht="16.5" customHeight="1">
      <c r="A117" s="85" t="s">
        <v>71</v>
      </c>
      <c r="B117" s="86"/>
      <c r="C117" s="86"/>
      <c r="D117" s="86"/>
      <c r="E117" s="87"/>
      <c r="F117" s="86" t="s">
        <v>72</v>
      </c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7"/>
      <c r="R117" s="86" t="s">
        <v>73</v>
      </c>
      <c r="S117" s="86"/>
      <c r="T117" s="87"/>
    </row>
    <row r="118" spans="1:20" ht="16.5" customHeight="1">
      <c r="A118" s="71" t="s">
        <v>129</v>
      </c>
      <c r="B118" s="72"/>
      <c r="C118" s="72"/>
      <c r="D118" s="86"/>
      <c r="E118" s="88"/>
      <c r="F118" s="89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88"/>
      <c r="R118" s="90">
        <f>R87</f>
        <v>186.73</v>
      </c>
      <c r="S118" s="72"/>
      <c r="T118" s="88"/>
    </row>
    <row r="119" spans="1:20" ht="16.5" customHeight="1">
      <c r="A119" s="71" t="s">
        <v>83</v>
      </c>
      <c r="B119" s="72"/>
      <c r="C119" s="72"/>
      <c r="D119" s="86"/>
      <c r="E119" s="88"/>
      <c r="F119" s="72" t="s">
        <v>48</v>
      </c>
      <c r="G119" s="94">
        <f>E105</f>
        <v>15</v>
      </c>
      <c r="H119" s="72" t="s">
        <v>75</v>
      </c>
      <c r="I119" s="90">
        <f>A108</f>
        <v>16.5</v>
      </c>
      <c r="J119" s="72" t="s">
        <v>3</v>
      </c>
      <c r="K119" s="91" t="s">
        <v>28</v>
      </c>
      <c r="L119" s="72">
        <v>-0.012</v>
      </c>
      <c r="M119" s="72"/>
      <c r="N119" s="91" t="s">
        <v>28</v>
      </c>
      <c r="O119" s="94">
        <f>R118</f>
        <v>186.73</v>
      </c>
      <c r="P119" s="72"/>
      <c r="Q119" s="100"/>
      <c r="R119" s="92">
        <f>ROUND((G119-I119)*L119*O119,2)</f>
        <v>3.36</v>
      </c>
      <c r="S119" s="94"/>
      <c r="T119" s="95"/>
    </row>
    <row r="120" spans="1:20" ht="16.5" customHeight="1">
      <c r="A120" s="71" t="s">
        <v>78</v>
      </c>
      <c r="B120" s="72"/>
      <c r="C120" s="72"/>
      <c r="D120" s="86"/>
      <c r="E120" s="96"/>
      <c r="F120" s="72" t="s">
        <v>48</v>
      </c>
      <c r="G120" s="72">
        <f>G85</f>
        <v>4.5</v>
      </c>
      <c r="H120" s="72" t="s">
        <v>75</v>
      </c>
      <c r="I120" s="72">
        <f>F108</f>
        <v>5.9</v>
      </c>
      <c r="J120" s="72" t="s">
        <v>3</v>
      </c>
      <c r="K120" s="91" t="s">
        <v>28</v>
      </c>
      <c r="L120" s="72">
        <v>0.03</v>
      </c>
      <c r="M120" s="72"/>
      <c r="N120" s="91" t="s">
        <v>28</v>
      </c>
      <c r="O120" s="94">
        <f>R118</f>
        <v>186.73</v>
      </c>
      <c r="P120" s="72"/>
      <c r="Q120" s="77"/>
      <c r="R120" s="92">
        <f>ROUND((G120-I120)*L120*O120,2)</f>
        <v>-7.84</v>
      </c>
      <c r="S120" s="94"/>
      <c r="T120" s="95"/>
    </row>
    <row r="121" spans="1:20" ht="16.5" customHeight="1">
      <c r="A121" s="71" t="s">
        <v>66</v>
      </c>
      <c r="B121" s="72"/>
      <c r="C121" s="72"/>
      <c r="D121" s="86"/>
      <c r="E121" s="96"/>
      <c r="F121" s="72" t="s">
        <v>48</v>
      </c>
      <c r="G121" s="90">
        <f>R115</f>
        <v>40.95</v>
      </c>
      <c r="H121" s="72"/>
      <c r="I121" s="72" t="s">
        <v>75</v>
      </c>
      <c r="J121" s="90">
        <f>G115</f>
        <v>42</v>
      </c>
      <c r="K121" s="72"/>
      <c r="L121" s="72" t="s">
        <v>3</v>
      </c>
      <c r="M121" s="72"/>
      <c r="N121" s="91" t="s">
        <v>28</v>
      </c>
      <c r="O121" s="72">
        <v>1.5</v>
      </c>
      <c r="P121" s="72"/>
      <c r="Q121" s="77"/>
      <c r="R121" s="92">
        <f>ROUND((G121-J121)*O121,2)</f>
        <v>-1.58</v>
      </c>
      <c r="S121" s="94"/>
      <c r="T121" s="95"/>
    </row>
    <row r="122" spans="1:20" ht="16.5" customHeight="1">
      <c r="A122" s="71" t="s">
        <v>67</v>
      </c>
      <c r="B122" s="72"/>
      <c r="C122" s="72"/>
      <c r="D122" s="86"/>
      <c r="E122" s="88"/>
      <c r="F122" s="116"/>
      <c r="G122" s="90">
        <f>R118</f>
        <v>186.73</v>
      </c>
      <c r="H122" s="72"/>
      <c r="I122" s="72" t="s">
        <v>44</v>
      </c>
      <c r="J122" s="92">
        <f>R119</f>
        <v>3.36</v>
      </c>
      <c r="K122" s="72"/>
      <c r="L122" s="72" t="s">
        <v>44</v>
      </c>
      <c r="M122" s="92">
        <f>R120</f>
        <v>-7.84</v>
      </c>
      <c r="N122" s="72"/>
      <c r="O122" s="92" t="s">
        <v>44</v>
      </c>
      <c r="P122" s="92">
        <f>R121</f>
        <v>-1.58</v>
      </c>
      <c r="Q122" s="118"/>
      <c r="R122" s="90">
        <f>ROUND(G122+J122+M122+P122,1)</f>
        <v>180.7</v>
      </c>
      <c r="S122" s="94"/>
      <c r="T122" s="95"/>
    </row>
    <row r="123" ht="23.25" customHeight="1">
      <c r="B123" s="84" t="s">
        <v>130</v>
      </c>
    </row>
    <row r="124" spans="1:18" ht="23.25" customHeight="1">
      <c r="A124" s="7" t="s">
        <v>85</v>
      </c>
      <c r="B124" s="7" t="s">
        <v>86</v>
      </c>
      <c r="F124" s="7" t="s">
        <v>34</v>
      </c>
      <c r="G124" s="7" t="s">
        <v>87</v>
      </c>
      <c r="L124" s="105">
        <f>C105</f>
        <v>28</v>
      </c>
      <c r="M124" s="84" t="s">
        <v>88</v>
      </c>
      <c r="O124" s="79">
        <f>R122</f>
        <v>180.7</v>
      </c>
      <c r="P124" s="83"/>
      <c r="Q124" s="7" t="s">
        <v>89</v>
      </c>
      <c r="R124" s="7" t="s">
        <v>90</v>
      </c>
    </row>
    <row r="125" spans="6:15" ht="23.25" customHeight="1">
      <c r="F125" s="7" t="s">
        <v>91</v>
      </c>
      <c r="G125" s="79">
        <f>O124</f>
        <v>180.7</v>
      </c>
      <c r="H125" s="78"/>
      <c r="I125" s="106" t="s">
        <v>76</v>
      </c>
      <c r="J125" s="107">
        <f>ROUND(L124/100,2)</f>
        <v>0.28</v>
      </c>
      <c r="K125" s="107"/>
      <c r="L125" s="7" t="s">
        <v>26</v>
      </c>
      <c r="M125" s="79">
        <f>ROUND(G125/J125,0)</f>
        <v>645</v>
      </c>
      <c r="N125" s="79"/>
      <c r="O125" s="7" t="s">
        <v>89</v>
      </c>
    </row>
    <row r="126" spans="1:15" ht="23.25" customHeight="1">
      <c r="A126" s="7" t="s">
        <v>85</v>
      </c>
      <c r="B126" s="7" t="s">
        <v>92</v>
      </c>
      <c r="F126" s="7" t="s">
        <v>91</v>
      </c>
      <c r="G126" s="79">
        <f>M125</f>
        <v>645</v>
      </c>
      <c r="H126" s="78"/>
      <c r="I126" s="106" t="s">
        <v>76</v>
      </c>
      <c r="J126" s="78">
        <f>J91</f>
        <v>3.05</v>
      </c>
      <c r="K126" s="78"/>
      <c r="L126" s="7" t="s">
        <v>26</v>
      </c>
      <c r="M126" s="79">
        <f>ROUND(G126/J126,0)</f>
        <v>211</v>
      </c>
      <c r="N126" s="79"/>
      <c r="O126" s="7" t="s">
        <v>93</v>
      </c>
    </row>
    <row r="127" spans="1:15" ht="23.25" customHeight="1">
      <c r="A127" s="7" t="s">
        <v>85</v>
      </c>
      <c r="B127" s="7" t="s">
        <v>94</v>
      </c>
      <c r="M127" s="78">
        <f>M92</f>
        <v>30</v>
      </c>
      <c r="N127" s="78"/>
      <c r="O127" s="7" t="s">
        <v>93</v>
      </c>
    </row>
    <row r="128" spans="1:20" ht="24.75" customHeight="1">
      <c r="A128" s="7" t="s">
        <v>85</v>
      </c>
      <c r="B128" s="7" t="s">
        <v>95</v>
      </c>
      <c r="F128" s="84" t="s">
        <v>96</v>
      </c>
      <c r="G128" s="7" t="s">
        <v>48</v>
      </c>
      <c r="H128" s="108">
        <f>M126/1000</f>
        <v>0.211</v>
      </c>
      <c r="I128" s="108"/>
      <c r="J128" s="108" t="s">
        <v>44</v>
      </c>
      <c r="K128" s="108">
        <f>O124/1000</f>
        <v>0.1807</v>
      </c>
      <c r="L128" s="108"/>
      <c r="M128" s="78" t="s">
        <v>44</v>
      </c>
      <c r="N128" s="78">
        <f>M127/1000</f>
        <v>0.03</v>
      </c>
      <c r="O128" s="78"/>
      <c r="P128" s="7" t="s">
        <v>3</v>
      </c>
      <c r="Q128" s="7" t="s">
        <v>26</v>
      </c>
      <c r="R128" s="108">
        <f>1-(H128+K128+N128)</f>
        <v>0.5783</v>
      </c>
      <c r="S128" s="107"/>
      <c r="T128" s="84" t="s">
        <v>97</v>
      </c>
    </row>
    <row r="129" spans="1:14" ht="22.5" customHeight="1">
      <c r="A129" s="7" t="s">
        <v>85</v>
      </c>
      <c r="B129" s="7" t="s">
        <v>98</v>
      </c>
      <c r="F129" s="108">
        <f>R128</f>
        <v>0.5783</v>
      </c>
      <c r="G129" s="78"/>
      <c r="H129" s="82" t="s">
        <v>28</v>
      </c>
      <c r="I129" s="108">
        <f>ROUND(R115/100,3)</f>
        <v>0.41</v>
      </c>
      <c r="J129" s="78"/>
      <c r="K129" s="78" t="s">
        <v>26</v>
      </c>
      <c r="L129" s="108">
        <f>F129*I129</f>
        <v>0.237103</v>
      </c>
      <c r="M129" s="108"/>
      <c r="N129" s="84" t="s">
        <v>97</v>
      </c>
    </row>
    <row r="130" spans="1:14" ht="26.25" customHeight="1">
      <c r="A130" s="7" t="s">
        <v>85</v>
      </c>
      <c r="B130" s="7" t="s">
        <v>99</v>
      </c>
      <c r="F130" s="108">
        <f>R128</f>
        <v>0.5783</v>
      </c>
      <c r="G130" s="78"/>
      <c r="H130" s="78" t="s">
        <v>75</v>
      </c>
      <c r="I130" s="108">
        <f>L129</f>
        <v>0.237103</v>
      </c>
      <c r="J130" s="78"/>
      <c r="K130" s="78" t="s">
        <v>26</v>
      </c>
      <c r="L130" s="108">
        <f>F130-I130</f>
        <v>0.34119700000000003</v>
      </c>
      <c r="M130" s="78"/>
      <c r="N130" s="84" t="s">
        <v>97</v>
      </c>
    </row>
    <row r="131" spans="1:17" ht="27" customHeight="1">
      <c r="A131" s="7" t="s">
        <v>85</v>
      </c>
      <c r="B131" s="7" t="s">
        <v>100</v>
      </c>
      <c r="F131" s="108">
        <f>L129</f>
        <v>0.237103</v>
      </c>
      <c r="G131" s="78"/>
      <c r="H131" s="82" t="s">
        <v>28</v>
      </c>
      <c r="I131" s="78">
        <f>I96</f>
        <v>2.58</v>
      </c>
      <c r="J131" s="78"/>
      <c r="K131" s="82" t="s">
        <v>28</v>
      </c>
      <c r="L131" s="78">
        <v>1000</v>
      </c>
      <c r="M131" s="78"/>
      <c r="N131" s="78" t="s">
        <v>26</v>
      </c>
      <c r="O131" s="79">
        <f>ROUND(F131*I131*L131,0)</f>
        <v>612</v>
      </c>
      <c r="P131" s="79"/>
      <c r="Q131" s="7" t="s">
        <v>89</v>
      </c>
    </row>
    <row r="132" spans="1:17" ht="23.25" customHeight="1">
      <c r="A132" s="7" t="s">
        <v>85</v>
      </c>
      <c r="B132" s="7" t="s">
        <v>101</v>
      </c>
      <c r="F132" s="108">
        <f>L130</f>
        <v>0.34119700000000003</v>
      </c>
      <c r="G132" s="78"/>
      <c r="H132" s="82" t="s">
        <v>28</v>
      </c>
      <c r="I132" s="107">
        <f>I97</f>
        <v>2.7</v>
      </c>
      <c r="J132" s="78"/>
      <c r="K132" s="82" t="s">
        <v>28</v>
      </c>
      <c r="L132" s="78">
        <v>1000</v>
      </c>
      <c r="M132" s="78"/>
      <c r="N132" s="78" t="s">
        <v>26</v>
      </c>
      <c r="O132" s="79">
        <f>F132*I132*L132</f>
        <v>921.2319000000001</v>
      </c>
      <c r="P132" s="79"/>
      <c r="Q132" s="7" t="s">
        <v>89</v>
      </c>
    </row>
    <row r="133" spans="1:14" ht="23.25" customHeight="1">
      <c r="A133" s="7" t="s">
        <v>85</v>
      </c>
      <c r="B133" s="7" t="s">
        <v>102</v>
      </c>
      <c r="F133" s="79">
        <f>M125</f>
        <v>645</v>
      </c>
      <c r="G133" s="78"/>
      <c r="H133" s="82" t="s">
        <v>28</v>
      </c>
      <c r="I133" s="78">
        <f>I98</f>
        <v>0.012</v>
      </c>
      <c r="J133" s="78"/>
      <c r="K133" s="78" t="s">
        <v>26</v>
      </c>
      <c r="L133" s="107">
        <f>F133*I133</f>
        <v>7.74</v>
      </c>
      <c r="M133" s="107"/>
      <c r="N133" s="7" t="s">
        <v>89</v>
      </c>
    </row>
    <row r="134" ht="16.5" customHeight="1">
      <c r="A134" s="84" t="s">
        <v>131</v>
      </c>
    </row>
    <row r="135" ht="14.25" customHeight="1">
      <c r="A135" s="84" t="s">
        <v>105</v>
      </c>
    </row>
    <row r="136" spans="1:20" ht="13.5" customHeight="1">
      <c r="A136" s="31" t="s">
        <v>106</v>
      </c>
      <c r="B136" s="109"/>
      <c r="C136" s="32" t="s">
        <v>47</v>
      </c>
      <c r="D136" s="109"/>
      <c r="E136" s="32" t="s">
        <v>107</v>
      </c>
      <c r="F136" s="109"/>
      <c r="G136" s="32" t="s">
        <v>66</v>
      </c>
      <c r="H136" s="109"/>
      <c r="I136" s="86" t="s">
        <v>108</v>
      </c>
      <c r="J136" s="86"/>
      <c r="K136" s="86"/>
      <c r="L136" s="86"/>
      <c r="M136" s="86"/>
      <c r="N136" s="86"/>
      <c r="O136" s="86"/>
      <c r="P136" s="86"/>
      <c r="Q136" s="86"/>
      <c r="R136" s="87"/>
      <c r="S136" s="32" t="s">
        <v>69</v>
      </c>
      <c r="T136" s="109"/>
    </row>
    <row r="137" spans="1:20" ht="15" customHeight="1">
      <c r="A137" s="71"/>
      <c r="B137" s="88"/>
      <c r="C137" s="72" t="s">
        <v>109</v>
      </c>
      <c r="D137" s="88"/>
      <c r="E137" s="89"/>
      <c r="F137" s="88"/>
      <c r="G137" s="72" t="s">
        <v>110</v>
      </c>
      <c r="H137" s="88"/>
      <c r="I137" s="72" t="s">
        <v>111</v>
      </c>
      <c r="J137" s="88"/>
      <c r="K137" s="72" t="s">
        <v>67</v>
      </c>
      <c r="L137" s="88"/>
      <c r="M137" s="72" t="s">
        <v>112</v>
      </c>
      <c r="N137" s="88"/>
      <c r="O137" s="72" t="s">
        <v>113</v>
      </c>
      <c r="P137" s="88"/>
      <c r="Q137" s="72" t="s">
        <v>114</v>
      </c>
      <c r="R137" s="88"/>
      <c r="S137" s="89"/>
      <c r="T137" s="88"/>
    </row>
    <row r="138" spans="1:20" ht="16.5" customHeight="1">
      <c r="A138" s="71">
        <v>1</v>
      </c>
      <c r="B138" s="110" t="s">
        <v>97</v>
      </c>
      <c r="C138" s="111"/>
      <c r="D138" s="112"/>
      <c r="E138" s="51"/>
      <c r="F138" s="112"/>
      <c r="G138" s="51"/>
      <c r="H138" s="112"/>
      <c r="I138" s="94">
        <f>M125</f>
        <v>645</v>
      </c>
      <c r="J138" s="88"/>
      <c r="K138" s="94">
        <f>O124</f>
        <v>180.7</v>
      </c>
      <c r="L138" s="88"/>
      <c r="M138" s="94">
        <f>O131</f>
        <v>612</v>
      </c>
      <c r="N138" s="88"/>
      <c r="O138" s="94">
        <f>O132</f>
        <v>921.2319000000001</v>
      </c>
      <c r="P138" s="88"/>
      <c r="Q138" s="92">
        <f>L133</f>
        <v>7.74</v>
      </c>
      <c r="R138" s="88"/>
      <c r="S138" s="111"/>
      <c r="T138" s="112"/>
    </row>
    <row r="139" spans="1:20" ht="16.5" customHeight="1">
      <c r="A139" s="71" t="s">
        <v>115</v>
      </c>
      <c r="B139" s="88"/>
      <c r="C139" s="94">
        <f>L124</f>
        <v>28</v>
      </c>
      <c r="D139" s="88"/>
      <c r="E139" s="72">
        <f>E105</f>
        <v>15</v>
      </c>
      <c r="F139" s="88"/>
      <c r="G139" s="90">
        <f>R115</f>
        <v>40.95</v>
      </c>
      <c r="H139" s="88"/>
      <c r="I139" s="113">
        <f>I138*0.04</f>
        <v>25.8</v>
      </c>
      <c r="J139" s="114"/>
      <c r="K139" s="113">
        <f>K138*0.04</f>
        <v>7.228</v>
      </c>
      <c r="L139" s="114"/>
      <c r="M139" s="113">
        <f>M138*0.04</f>
        <v>24.48</v>
      </c>
      <c r="N139" s="114"/>
      <c r="O139" s="113">
        <f>O138*0.04</f>
        <v>36.849276</v>
      </c>
      <c r="P139" s="114"/>
      <c r="Q139" s="113">
        <f>Q138*0.04</f>
        <v>0.30960000000000004</v>
      </c>
      <c r="R139" s="114"/>
      <c r="S139" s="89"/>
      <c r="T139" s="88"/>
    </row>
    <row r="140" ht="18.75" customHeight="1">
      <c r="A140" s="84" t="s">
        <v>116</v>
      </c>
    </row>
    <row r="141" spans="1:20" ht="16.5" customHeight="1">
      <c r="A141" s="85" t="s">
        <v>117</v>
      </c>
      <c r="B141" s="86"/>
      <c r="C141" s="86"/>
      <c r="D141" s="86"/>
      <c r="E141" s="87"/>
      <c r="F141" s="86" t="s">
        <v>118</v>
      </c>
      <c r="G141" s="86"/>
      <c r="H141" s="86"/>
      <c r="I141" s="86"/>
      <c r="J141" s="87"/>
      <c r="K141" s="86" t="s">
        <v>119</v>
      </c>
      <c r="L141" s="86"/>
      <c r="M141" s="86"/>
      <c r="N141" s="86"/>
      <c r="O141" s="87"/>
      <c r="P141" s="86" t="s">
        <v>120</v>
      </c>
      <c r="Q141" s="86"/>
      <c r="R141" s="86"/>
      <c r="S141" s="86"/>
      <c r="T141" s="87"/>
    </row>
    <row r="142" spans="1:20" ht="16.5" customHeight="1">
      <c r="A142" s="71">
        <v>15</v>
      </c>
      <c r="B142" s="72"/>
      <c r="C142" s="72"/>
      <c r="D142" s="72"/>
      <c r="E142" s="88"/>
      <c r="F142" s="72">
        <v>4.5</v>
      </c>
      <c r="G142" s="72"/>
      <c r="H142" s="72"/>
      <c r="I142" s="72"/>
      <c r="J142" s="88"/>
      <c r="K142" s="72" t="s">
        <v>132</v>
      </c>
      <c r="L142" s="72"/>
      <c r="M142" s="72"/>
      <c r="N142" s="72"/>
      <c r="O142" s="88"/>
      <c r="P142" s="89"/>
      <c r="Q142" s="72"/>
      <c r="R142" s="72"/>
      <c r="S142" s="72"/>
      <c r="T142" s="88"/>
    </row>
    <row r="143" ht="3" customHeight="1"/>
    <row r="144" ht="17.25" customHeight="1">
      <c r="A144" s="7" t="s">
        <v>197</v>
      </c>
    </row>
    <row r="145" ht="14.25" customHeight="1">
      <c r="B145" s="7" t="s">
        <v>133</v>
      </c>
    </row>
    <row r="146" ht="16.5" customHeight="1">
      <c r="A146" s="7" t="s">
        <v>134</v>
      </c>
    </row>
    <row r="147" spans="1:16" ht="16.5" customHeight="1">
      <c r="A147" s="7" t="s">
        <v>85</v>
      </c>
      <c r="B147" s="78" t="s">
        <v>135</v>
      </c>
      <c r="C147" s="78"/>
      <c r="D147" s="78"/>
      <c r="E147" s="79">
        <f>C139-5</f>
        <v>23</v>
      </c>
      <c r="F147" s="119" t="s">
        <v>11</v>
      </c>
      <c r="G147" s="78"/>
      <c r="H147" s="78" t="s">
        <v>136</v>
      </c>
      <c r="I147" s="78"/>
      <c r="J147" s="83">
        <f>G139</f>
        <v>40.95</v>
      </c>
      <c r="K147" s="78" t="s">
        <v>11</v>
      </c>
      <c r="L147" s="78"/>
      <c r="M147" s="78" t="s">
        <v>137</v>
      </c>
      <c r="N147" s="79">
        <f>K138</f>
        <v>180.7</v>
      </c>
      <c r="O147" s="78"/>
      <c r="P147" s="7" t="s">
        <v>89</v>
      </c>
    </row>
    <row r="148" spans="6:15" ht="15.75" customHeight="1">
      <c r="F148" s="7" t="s">
        <v>91</v>
      </c>
      <c r="G148" s="79">
        <f>N147</f>
        <v>180.7</v>
      </c>
      <c r="H148" s="78"/>
      <c r="I148" s="106" t="s">
        <v>76</v>
      </c>
      <c r="J148" s="107">
        <f>ROUND(E147/100,2)</f>
        <v>0.23</v>
      </c>
      <c r="K148" s="107"/>
      <c r="L148" s="7" t="s">
        <v>26</v>
      </c>
      <c r="M148" s="79">
        <f>ROUND(G148/J148,0)</f>
        <v>786</v>
      </c>
      <c r="N148" s="79"/>
      <c r="O148" s="7" t="s">
        <v>89</v>
      </c>
    </row>
    <row r="149" spans="1:15" ht="15.75" customHeight="1">
      <c r="A149" s="7" t="s">
        <v>85</v>
      </c>
      <c r="B149" s="7" t="s">
        <v>92</v>
      </c>
      <c r="F149" s="7" t="s">
        <v>91</v>
      </c>
      <c r="G149" s="79">
        <f>M148</f>
        <v>786</v>
      </c>
      <c r="H149" s="78"/>
      <c r="I149" s="106" t="s">
        <v>76</v>
      </c>
      <c r="J149" s="78">
        <f>J126</f>
        <v>3.05</v>
      </c>
      <c r="K149" s="78"/>
      <c r="L149" s="7" t="s">
        <v>26</v>
      </c>
      <c r="M149" s="79">
        <f>ROUND(G149/J149,0)</f>
        <v>258</v>
      </c>
      <c r="N149" s="79"/>
      <c r="O149" s="7" t="s">
        <v>93</v>
      </c>
    </row>
    <row r="150" spans="1:15" ht="15.75" customHeight="1">
      <c r="A150" s="7" t="s">
        <v>85</v>
      </c>
      <c r="B150" s="7" t="s">
        <v>94</v>
      </c>
      <c r="M150" s="78">
        <f>M127</f>
        <v>30</v>
      </c>
      <c r="N150" s="78"/>
      <c r="O150" s="7" t="s">
        <v>93</v>
      </c>
    </row>
    <row r="151" spans="1:20" ht="15.75" customHeight="1">
      <c r="A151" s="7" t="s">
        <v>85</v>
      </c>
      <c r="B151" s="7" t="s">
        <v>95</v>
      </c>
      <c r="F151" s="84" t="s">
        <v>96</v>
      </c>
      <c r="G151" s="7" t="s">
        <v>48</v>
      </c>
      <c r="H151" s="108">
        <f>M149/1000</f>
        <v>0.258</v>
      </c>
      <c r="I151" s="108"/>
      <c r="J151" s="108" t="s">
        <v>44</v>
      </c>
      <c r="K151" s="108">
        <f>N147/1000</f>
        <v>0.1807</v>
      </c>
      <c r="L151" s="108"/>
      <c r="M151" s="78" t="s">
        <v>44</v>
      </c>
      <c r="N151" s="78">
        <f>M150/1000</f>
        <v>0.03</v>
      </c>
      <c r="O151" s="78"/>
      <c r="P151" s="7" t="s">
        <v>3</v>
      </c>
      <c r="Q151" s="7" t="s">
        <v>26</v>
      </c>
      <c r="R151" s="108">
        <f>1-(H151+K151+N151)</f>
        <v>0.5313</v>
      </c>
      <c r="S151" s="107"/>
      <c r="T151" s="84" t="s">
        <v>97</v>
      </c>
    </row>
    <row r="152" spans="1:14" ht="16.5" customHeight="1">
      <c r="A152" s="7" t="s">
        <v>85</v>
      </c>
      <c r="B152" s="7" t="s">
        <v>98</v>
      </c>
      <c r="F152" s="108">
        <f>R151</f>
        <v>0.5313</v>
      </c>
      <c r="G152" s="78"/>
      <c r="H152" s="82" t="s">
        <v>28</v>
      </c>
      <c r="I152" s="108">
        <f>ROUND(J147/100,3)</f>
        <v>0.41</v>
      </c>
      <c r="J152" s="78"/>
      <c r="K152" s="78" t="s">
        <v>26</v>
      </c>
      <c r="L152" s="108">
        <f>ROUND(F152*I152,3)</f>
        <v>0.218</v>
      </c>
      <c r="M152" s="108"/>
      <c r="N152" s="84" t="s">
        <v>97</v>
      </c>
    </row>
    <row r="153" spans="1:14" ht="16.5" customHeight="1">
      <c r="A153" s="7" t="s">
        <v>85</v>
      </c>
      <c r="B153" s="7" t="s">
        <v>99</v>
      </c>
      <c r="F153" s="108">
        <f>R151</f>
        <v>0.5313</v>
      </c>
      <c r="G153" s="78"/>
      <c r="H153" s="78" t="s">
        <v>75</v>
      </c>
      <c r="I153" s="108">
        <f>L152</f>
        <v>0.218</v>
      </c>
      <c r="J153" s="78"/>
      <c r="K153" s="78" t="s">
        <v>26</v>
      </c>
      <c r="L153" s="108">
        <f>ROUND(F153-I153,3)</f>
        <v>0.313</v>
      </c>
      <c r="M153" s="78"/>
      <c r="N153" s="84" t="s">
        <v>97</v>
      </c>
    </row>
    <row r="154" spans="1:17" ht="16.5" customHeight="1">
      <c r="A154" s="7" t="s">
        <v>85</v>
      </c>
      <c r="B154" s="7" t="s">
        <v>100</v>
      </c>
      <c r="F154" s="108">
        <f>L152</f>
        <v>0.218</v>
      </c>
      <c r="G154" s="78"/>
      <c r="H154" s="82" t="s">
        <v>28</v>
      </c>
      <c r="I154" s="78">
        <f>I131</f>
        <v>2.58</v>
      </c>
      <c r="J154" s="78"/>
      <c r="K154" s="82" t="s">
        <v>28</v>
      </c>
      <c r="L154" s="78">
        <v>1000</v>
      </c>
      <c r="M154" s="78"/>
      <c r="N154" s="78" t="s">
        <v>26</v>
      </c>
      <c r="O154" s="79">
        <f>ROUND(F154*I154*L154,0)</f>
        <v>562</v>
      </c>
      <c r="P154" s="79"/>
      <c r="Q154" s="7" t="s">
        <v>89</v>
      </c>
    </row>
    <row r="155" spans="1:17" ht="16.5" customHeight="1">
      <c r="A155" s="7" t="s">
        <v>85</v>
      </c>
      <c r="B155" s="7" t="s">
        <v>101</v>
      </c>
      <c r="F155" s="108">
        <f>L153</f>
        <v>0.313</v>
      </c>
      <c r="G155" s="78"/>
      <c r="H155" s="82" t="s">
        <v>28</v>
      </c>
      <c r="I155" s="107">
        <f>I132</f>
        <v>2.7</v>
      </c>
      <c r="J155" s="78"/>
      <c r="K155" s="82" t="s">
        <v>28</v>
      </c>
      <c r="L155" s="78">
        <v>1000</v>
      </c>
      <c r="M155" s="78"/>
      <c r="N155" s="78" t="s">
        <v>26</v>
      </c>
      <c r="O155" s="79">
        <f>F155*I155*L155</f>
        <v>845.1</v>
      </c>
      <c r="P155" s="79"/>
      <c r="Q155" s="7" t="s">
        <v>89</v>
      </c>
    </row>
    <row r="156" spans="1:14" ht="16.5" customHeight="1">
      <c r="A156" s="7" t="s">
        <v>85</v>
      </c>
      <c r="B156" s="7" t="s">
        <v>102</v>
      </c>
      <c r="F156" s="79">
        <f>M148</f>
        <v>786</v>
      </c>
      <c r="G156" s="78"/>
      <c r="H156" s="82" t="s">
        <v>28</v>
      </c>
      <c r="I156" s="78">
        <f>I133</f>
        <v>0.012</v>
      </c>
      <c r="J156" s="78"/>
      <c r="K156" s="78" t="s">
        <v>26</v>
      </c>
      <c r="L156" s="107">
        <f>F156*I156</f>
        <v>9.432</v>
      </c>
      <c r="M156" s="107"/>
      <c r="N156" s="7" t="s">
        <v>89</v>
      </c>
    </row>
    <row r="157" ht="16.5" customHeight="1">
      <c r="A157" s="7" t="s">
        <v>138</v>
      </c>
    </row>
    <row r="158" spans="1:16" ht="16.5" customHeight="1">
      <c r="A158" s="7" t="s">
        <v>85</v>
      </c>
      <c r="B158" s="78" t="s">
        <v>135</v>
      </c>
      <c r="C158" s="78"/>
      <c r="D158" s="78"/>
      <c r="E158" s="79">
        <f>C139</f>
        <v>28</v>
      </c>
      <c r="F158" s="119" t="s">
        <v>11</v>
      </c>
      <c r="G158" s="78"/>
      <c r="H158" s="78" t="s">
        <v>136</v>
      </c>
      <c r="I158" s="78"/>
      <c r="J158" s="83">
        <f>G139</f>
        <v>40.95</v>
      </c>
      <c r="K158" s="78" t="s">
        <v>11</v>
      </c>
      <c r="L158" s="78"/>
      <c r="M158" s="78" t="s">
        <v>137</v>
      </c>
      <c r="N158" s="79">
        <f>K138</f>
        <v>180.7</v>
      </c>
      <c r="O158" s="78"/>
      <c r="P158" s="7" t="s">
        <v>89</v>
      </c>
    </row>
    <row r="159" spans="6:15" ht="18" customHeight="1">
      <c r="F159" s="7" t="s">
        <v>91</v>
      </c>
      <c r="G159" s="79">
        <f>N158</f>
        <v>180.7</v>
      </c>
      <c r="H159" s="78"/>
      <c r="I159" s="106" t="s">
        <v>76</v>
      </c>
      <c r="J159" s="107">
        <f>ROUND(E158/100,2)</f>
        <v>0.28</v>
      </c>
      <c r="K159" s="107"/>
      <c r="L159" s="7" t="s">
        <v>26</v>
      </c>
      <c r="M159" s="79">
        <f>ROUND(G159/J159,0)</f>
        <v>645</v>
      </c>
      <c r="N159" s="79"/>
      <c r="O159" s="7" t="s">
        <v>89</v>
      </c>
    </row>
    <row r="160" spans="1:15" ht="18" customHeight="1">
      <c r="A160" s="7" t="s">
        <v>85</v>
      </c>
      <c r="B160" s="7" t="s">
        <v>92</v>
      </c>
      <c r="F160" s="7" t="s">
        <v>91</v>
      </c>
      <c r="G160" s="79">
        <f>M159</f>
        <v>645</v>
      </c>
      <c r="H160" s="78"/>
      <c r="I160" s="106" t="s">
        <v>76</v>
      </c>
      <c r="J160" s="78">
        <f>J149</f>
        <v>3.05</v>
      </c>
      <c r="K160" s="78"/>
      <c r="L160" s="7" t="s">
        <v>26</v>
      </c>
      <c r="M160" s="79">
        <f>ROUND(G160/J160,0)</f>
        <v>211</v>
      </c>
      <c r="N160" s="79"/>
      <c r="O160" s="7" t="s">
        <v>93</v>
      </c>
    </row>
    <row r="161" spans="1:15" ht="18" customHeight="1">
      <c r="A161" s="7" t="s">
        <v>85</v>
      </c>
      <c r="B161" s="7" t="s">
        <v>94</v>
      </c>
      <c r="M161" s="78">
        <f>M150</f>
        <v>30</v>
      </c>
      <c r="N161" s="78"/>
      <c r="O161" s="7" t="s">
        <v>93</v>
      </c>
    </row>
    <row r="162" spans="1:20" ht="18" customHeight="1">
      <c r="A162" s="7" t="s">
        <v>85</v>
      </c>
      <c r="B162" s="7" t="s">
        <v>95</v>
      </c>
      <c r="F162" s="84" t="s">
        <v>96</v>
      </c>
      <c r="G162" s="7" t="s">
        <v>48</v>
      </c>
      <c r="H162" s="108">
        <f>M160/1000</f>
        <v>0.211</v>
      </c>
      <c r="I162" s="108"/>
      <c r="J162" s="108" t="s">
        <v>44</v>
      </c>
      <c r="K162" s="108">
        <f>N158/1000</f>
        <v>0.1807</v>
      </c>
      <c r="L162" s="108"/>
      <c r="M162" s="78" t="s">
        <v>44</v>
      </c>
      <c r="N162" s="78">
        <f>M161/1000</f>
        <v>0.03</v>
      </c>
      <c r="O162" s="78"/>
      <c r="P162" s="7" t="s">
        <v>3</v>
      </c>
      <c r="Q162" s="7" t="s">
        <v>26</v>
      </c>
      <c r="R162" s="108">
        <f>1-(H162+K162+N162)</f>
        <v>0.5783</v>
      </c>
      <c r="S162" s="107"/>
      <c r="T162" s="84" t="s">
        <v>97</v>
      </c>
    </row>
    <row r="163" spans="1:14" ht="18" customHeight="1">
      <c r="A163" s="7" t="s">
        <v>85</v>
      </c>
      <c r="B163" s="7" t="s">
        <v>98</v>
      </c>
      <c r="F163" s="108">
        <f>R162</f>
        <v>0.5783</v>
      </c>
      <c r="G163" s="78"/>
      <c r="H163" s="82" t="s">
        <v>28</v>
      </c>
      <c r="I163" s="108">
        <f>ROUND(J158/100,3)</f>
        <v>0.41</v>
      </c>
      <c r="J163" s="78"/>
      <c r="K163" s="78" t="s">
        <v>26</v>
      </c>
      <c r="L163" s="108">
        <f>ROUND(F163*I163,3)</f>
        <v>0.237</v>
      </c>
      <c r="M163" s="108"/>
      <c r="N163" s="84" t="s">
        <v>97</v>
      </c>
    </row>
    <row r="164" spans="1:14" ht="18" customHeight="1">
      <c r="A164" s="7" t="s">
        <v>85</v>
      </c>
      <c r="B164" s="7" t="s">
        <v>99</v>
      </c>
      <c r="F164" s="108">
        <f>R162</f>
        <v>0.5783</v>
      </c>
      <c r="G164" s="78"/>
      <c r="H164" s="78" t="s">
        <v>75</v>
      </c>
      <c r="I164" s="108">
        <f>L163</f>
        <v>0.237</v>
      </c>
      <c r="J164" s="78"/>
      <c r="K164" s="78" t="s">
        <v>26</v>
      </c>
      <c r="L164" s="108">
        <f>ROUND(F164-I164,3)</f>
        <v>0.341</v>
      </c>
      <c r="M164" s="78"/>
      <c r="N164" s="84" t="s">
        <v>97</v>
      </c>
    </row>
    <row r="165" spans="1:17" ht="18" customHeight="1">
      <c r="A165" s="7" t="s">
        <v>85</v>
      </c>
      <c r="B165" s="7" t="s">
        <v>100</v>
      </c>
      <c r="F165" s="108">
        <f>L163</f>
        <v>0.237</v>
      </c>
      <c r="G165" s="78"/>
      <c r="H165" s="82" t="s">
        <v>28</v>
      </c>
      <c r="I165" s="78">
        <f>I154</f>
        <v>2.58</v>
      </c>
      <c r="J165" s="78"/>
      <c r="K165" s="82" t="s">
        <v>28</v>
      </c>
      <c r="L165" s="78">
        <v>1000</v>
      </c>
      <c r="M165" s="78"/>
      <c r="N165" s="78" t="s">
        <v>26</v>
      </c>
      <c r="O165" s="79">
        <f>ROUND(F165*I165*L165,0)</f>
        <v>611</v>
      </c>
      <c r="P165" s="79"/>
      <c r="Q165" s="7" t="s">
        <v>89</v>
      </c>
    </row>
    <row r="166" spans="1:17" ht="18" customHeight="1">
      <c r="A166" s="7" t="s">
        <v>85</v>
      </c>
      <c r="B166" s="7" t="s">
        <v>101</v>
      </c>
      <c r="F166" s="108">
        <f>L164</f>
        <v>0.341</v>
      </c>
      <c r="G166" s="78"/>
      <c r="H166" s="82" t="s">
        <v>28</v>
      </c>
      <c r="I166" s="107">
        <f>I155</f>
        <v>2.7</v>
      </c>
      <c r="J166" s="78"/>
      <c r="K166" s="82" t="s">
        <v>28</v>
      </c>
      <c r="L166" s="78">
        <v>1000</v>
      </c>
      <c r="M166" s="78"/>
      <c r="N166" s="78" t="s">
        <v>26</v>
      </c>
      <c r="O166" s="79">
        <f>F166*I166*L166</f>
        <v>920.7</v>
      </c>
      <c r="P166" s="79"/>
      <c r="Q166" s="7" t="s">
        <v>89</v>
      </c>
    </row>
    <row r="167" spans="1:14" ht="18" customHeight="1">
      <c r="A167" s="7" t="s">
        <v>85</v>
      </c>
      <c r="B167" s="7" t="s">
        <v>102</v>
      </c>
      <c r="F167" s="79">
        <f>M159</f>
        <v>645</v>
      </c>
      <c r="G167" s="78"/>
      <c r="H167" s="82" t="s">
        <v>28</v>
      </c>
      <c r="I167" s="78">
        <f>I156</f>
        <v>0.012</v>
      </c>
      <c r="J167" s="78"/>
      <c r="K167" s="78" t="s">
        <v>26</v>
      </c>
      <c r="L167" s="107">
        <f>F167*I167</f>
        <v>7.74</v>
      </c>
      <c r="M167" s="107"/>
      <c r="N167" s="7" t="s">
        <v>89</v>
      </c>
    </row>
    <row r="168" ht="21" customHeight="1">
      <c r="A168" s="84" t="s">
        <v>139</v>
      </c>
    </row>
    <row r="169" spans="1:16" ht="20.25" customHeight="1">
      <c r="A169" s="7" t="s">
        <v>85</v>
      </c>
      <c r="B169" s="78" t="s">
        <v>135</v>
      </c>
      <c r="C169" s="78"/>
      <c r="D169" s="78"/>
      <c r="E169" s="79">
        <f>C139+5</f>
        <v>33</v>
      </c>
      <c r="F169" s="119" t="s">
        <v>11</v>
      </c>
      <c r="G169" s="78"/>
      <c r="H169" s="78" t="s">
        <v>136</v>
      </c>
      <c r="I169" s="78"/>
      <c r="J169" s="83">
        <f>J158</f>
        <v>40.95</v>
      </c>
      <c r="K169" s="78" t="s">
        <v>11</v>
      </c>
      <c r="L169" s="78"/>
      <c r="M169" s="78" t="s">
        <v>137</v>
      </c>
      <c r="N169" s="79">
        <f>N158</f>
        <v>180.7</v>
      </c>
      <c r="O169" s="78"/>
      <c r="P169" s="7" t="s">
        <v>89</v>
      </c>
    </row>
    <row r="170" spans="6:15" ht="16.5" customHeight="1">
      <c r="F170" s="7" t="s">
        <v>91</v>
      </c>
      <c r="G170" s="79">
        <f>N169</f>
        <v>180.7</v>
      </c>
      <c r="H170" s="78"/>
      <c r="I170" s="106" t="s">
        <v>76</v>
      </c>
      <c r="J170" s="107">
        <f>ROUND(E169/100,2)</f>
        <v>0.33</v>
      </c>
      <c r="K170" s="107"/>
      <c r="L170" s="7" t="s">
        <v>26</v>
      </c>
      <c r="M170" s="79">
        <f>ROUND(G170/J170,0)</f>
        <v>548</v>
      </c>
      <c r="N170" s="79"/>
      <c r="O170" s="7" t="s">
        <v>89</v>
      </c>
    </row>
    <row r="171" spans="1:15" ht="16.5" customHeight="1">
      <c r="A171" s="7" t="s">
        <v>85</v>
      </c>
      <c r="B171" s="7" t="s">
        <v>92</v>
      </c>
      <c r="F171" s="7" t="s">
        <v>91</v>
      </c>
      <c r="G171" s="79">
        <f>M170</f>
        <v>548</v>
      </c>
      <c r="H171" s="78"/>
      <c r="I171" s="106" t="s">
        <v>76</v>
      </c>
      <c r="J171" s="78">
        <f>J160</f>
        <v>3.05</v>
      </c>
      <c r="K171" s="78"/>
      <c r="L171" s="7" t="s">
        <v>26</v>
      </c>
      <c r="M171" s="79">
        <f>ROUND(G171/J171,0)</f>
        <v>180</v>
      </c>
      <c r="N171" s="79"/>
      <c r="O171" s="7" t="s">
        <v>93</v>
      </c>
    </row>
    <row r="172" spans="1:15" ht="17.25" customHeight="1">
      <c r="A172" s="7" t="s">
        <v>85</v>
      </c>
      <c r="B172" s="7" t="s">
        <v>94</v>
      </c>
      <c r="M172" s="78">
        <f>M161</f>
        <v>30</v>
      </c>
      <c r="N172" s="78"/>
      <c r="O172" s="7" t="s">
        <v>93</v>
      </c>
    </row>
    <row r="173" spans="1:20" ht="17.25" customHeight="1">
      <c r="A173" s="7" t="s">
        <v>85</v>
      </c>
      <c r="B173" s="7" t="s">
        <v>95</v>
      </c>
      <c r="F173" s="84" t="s">
        <v>96</v>
      </c>
      <c r="G173" s="7" t="s">
        <v>48</v>
      </c>
      <c r="H173" s="108">
        <f>M171/1000</f>
        <v>0.18</v>
      </c>
      <c r="I173" s="108"/>
      <c r="J173" s="108" t="s">
        <v>44</v>
      </c>
      <c r="K173" s="108">
        <f>N169/1000</f>
        <v>0.1807</v>
      </c>
      <c r="L173" s="108"/>
      <c r="M173" s="78" t="s">
        <v>44</v>
      </c>
      <c r="N173" s="78">
        <f>M172/1000</f>
        <v>0.03</v>
      </c>
      <c r="O173" s="78"/>
      <c r="P173" s="7" t="s">
        <v>3</v>
      </c>
      <c r="Q173" s="7" t="s">
        <v>26</v>
      </c>
      <c r="R173" s="108">
        <f>1-(H173+K173+N173)</f>
        <v>0.6093</v>
      </c>
      <c r="S173" s="107"/>
      <c r="T173" s="84" t="s">
        <v>97</v>
      </c>
    </row>
    <row r="174" spans="1:14" ht="17.25" customHeight="1">
      <c r="A174" s="7" t="s">
        <v>85</v>
      </c>
      <c r="B174" s="7" t="s">
        <v>98</v>
      </c>
      <c r="F174" s="108">
        <f>R173</f>
        <v>0.6093</v>
      </c>
      <c r="G174" s="78"/>
      <c r="H174" s="82" t="s">
        <v>28</v>
      </c>
      <c r="I174" s="108">
        <f>ROUND(J169/100,3)</f>
        <v>0.41</v>
      </c>
      <c r="J174" s="78"/>
      <c r="K174" s="78" t="s">
        <v>26</v>
      </c>
      <c r="L174" s="108">
        <f>F174*I174</f>
        <v>0.24981299999999998</v>
      </c>
      <c r="M174" s="108"/>
      <c r="N174" s="84" t="s">
        <v>97</v>
      </c>
    </row>
    <row r="175" spans="1:14" ht="17.25" customHeight="1">
      <c r="A175" s="7" t="s">
        <v>85</v>
      </c>
      <c r="B175" s="7" t="s">
        <v>99</v>
      </c>
      <c r="F175" s="108">
        <f>R173</f>
        <v>0.6093</v>
      </c>
      <c r="G175" s="78"/>
      <c r="H175" s="78" t="s">
        <v>75</v>
      </c>
      <c r="I175" s="108">
        <f>L174</f>
        <v>0.24981299999999998</v>
      </c>
      <c r="J175" s="78"/>
      <c r="K175" s="78" t="s">
        <v>26</v>
      </c>
      <c r="L175" s="108">
        <f>F175-I175</f>
        <v>0.359487</v>
      </c>
      <c r="M175" s="78"/>
      <c r="N175" s="84" t="s">
        <v>97</v>
      </c>
    </row>
    <row r="176" spans="1:17" ht="17.25" customHeight="1">
      <c r="A176" s="7" t="s">
        <v>85</v>
      </c>
      <c r="B176" s="7" t="s">
        <v>100</v>
      </c>
      <c r="F176" s="108">
        <f>L174</f>
        <v>0.24981299999999998</v>
      </c>
      <c r="G176" s="78"/>
      <c r="H176" s="82" t="s">
        <v>28</v>
      </c>
      <c r="I176" s="78">
        <f>I165</f>
        <v>2.58</v>
      </c>
      <c r="J176" s="78"/>
      <c r="K176" s="82" t="s">
        <v>28</v>
      </c>
      <c r="L176" s="78">
        <v>1000</v>
      </c>
      <c r="M176" s="78"/>
      <c r="N176" s="78" t="s">
        <v>26</v>
      </c>
      <c r="O176" s="79">
        <f>F176*I176*L176</f>
        <v>644.5175399999999</v>
      </c>
      <c r="P176" s="79"/>
      <c r="Q176" s="7" t="s">
        <v>89</v>
      </c>
    </row>
    <row r="177" spans="1:17" ht="17.25" customHeight="1">
      <c r="A177" s="7" t="s">
        <v>85</v>
      </c>
      <c r="B177" s="7" t="s">
        <v>101</v>
      </c>
      <c r="F177" s="108">
        <f>L175</f>
        <v>0.359487</v>
      </c>
      <c r="G177" s="51"/>
      <c r="H177" s="82" t="s">
        <v>28</v>
      </c>
      <c r="I177" s="107">
        <f>I166</f>
        <v>2.7</v>
      </c>
      <c r="J177" s="78"/>
      <c r="K177" s="82" t="s">
        <v>28</v>
      </c>
      <c r="L177" s="78">
        <v>1000</v>
      </c>
      <c r="M177" s="78"/>
      <c r="N177" s="78" t="s">
        <v>26</v>
      </c>
      <c r="O177" s="79">
        <f>F177*I177*L177</f>
        <v>970.6149</v>
      </c>
      <c r="P177" s="79"/>
      <c r="Q177" s="7" t="s">
        <v>89</v>
      </c>
    </row>
    <row r="178" spans="1:14" ht="21" customHeight="1">
      <c r="A178" s="7" t="s">
        <v>85</v>
      </c>
      <c r="B178" s="7" t="s">
        <v>102</v>
      </c>
      <c r="F178" s="79">
        <f>M170</f>
        <v>548</v>
      </c>
      <c r="G178" s="78"/>
      <c r="H178" s="82" t="s">
        <v>28</v>
      </c>
      <c r="I178" s="78">
        <f>I167</f>
        <v>0.012</v>
      </c>
      <c r="J178" s="78"/>
      <c r="K178" s="78" t="s">
        <v>26</v>
      </c>
      <c r="L178" s="107">
        <f>F178*I178</f>
        <v>6.5760000000000005</v>
      </c>
      <c r="M178" s="107"/>
      <c r="N178" s="7" t="s">
        <v>89</v>
      </c>
    </row>
    <row r="179" ht="21.75" customHeight="1">
      <c r="A179" s="7" t="s">
        <v>140</v>
      </c>
    </row>
    <row r="180" spans="1:20" ht="21" customHeight="1">
      <c r="A180" s="31" t="s">
        <v>106</v>
      </c>
      <c r="B180" s="109"/>
      <c r="C180" s="32" t="s">
        <v>47</v>
      </c>
      <c r="D180" s="109"/>
      <c r="E180" s="32" t="s">
        <v>81</v>
      </c>
      <c r="F180" s="109"/>
      <c r="G180" s="86" t="s">
        <v>108</v>
      </c>
      <c r="H180" s="86"/>
      <c r="I180" s="86"/>
      <c r="J180" s="86"/>
      <c r="K180" s="86"/>
      <c r="L180" s="86"/>
      <c r="M180" s="86"/>
      <c r="N180" s="86"/>
      <c r="O180" s="86"/>
      <c r="P180" s="87"/>
      <c r="Q180" s="120" t="s">
        <v>141</v>
      </c>
      <c r="R180" s="120"/>
      <c r="S180" s="120"/>
      <c r="T180" s="121"/>
    </row>
    <row r="181" spans="1:20" ht="24.75" customHeight="1">
      <c r="A181" s="71"/>
      <c r="B181" s="88"/>
      <c r="C181" s="72" t="s">
        <v>109</v>
      </c>
      <c r="D181" s="88"/>
      <c r="E181" s="72" t="s">
        <v>109</v>
      </c>
      <c r="F181" s="88"/>
      <c r="G181" s="72" t="s">
        <v>111</v>
      </c>
      <c r="H181" s="88"/>
      <c r="I181" s="72" t="s">
        <v>67</v>
      </c>
      <c r="J181" s="88"/>
      <c r="K181" s="72" t="s">
        <v>112</v>
      </c>
      <c r="L181" s="88"/>
      <c r="M181" s="72" t="s">
        <v>113</v>
      </c>
      <c r="N181" s="88"/>
      <c r="O181" s="72" t="s">
        <v>114</v>
      </c>
      <c r="P181" s="88"/>
      <c r="Q181" s="77" t="s">
        <v>142</v>
      </c>
      <c r="R181" s="77" t="s">
        <v>143</v>
      </c>
      <c r="S181" s="76" t="s">
        <v>144</v>
      </c>
      <c r="T181" s="77"/>
    </row>
    <row r="182" spans="1:20" ht="24.75" customHeight="1">
      <c r="A182" s="66" t="s">
        <v>145</v>
      </c>
      <c r="B182" s="112"/>
      <c r="C182" s="111"/>
      <c r="D182" s="112"/>
      <c r="E182" s="51"/>
      <c r="F182" s="112"/>
      <c r="G182" s="94">
        <f>M148</f>
        <v>786</v>
      </c>
      <c r="H182" s="88"/>
      <c r="I182" s="94">
        <f>N147</f>
        <v>180.7</v>
      </c>
      <c r="J182" s="88"/>
      <c r="K182" s="94">
        <f>O154</f>
        <v>562</v>
      </c>
      <c r="L182" s="88"/>
      <c r="M182" s="94">
        <f>O155</f>
        <v>845.1</v>
      </c>
      <c r="N182" s="88"/>
      <c r="O182" s="92">
        <f>L167</f>
        <v>7.74</v>
      </c>
      <c r="P182" s="88"/>
      <c r="Q182" s="70"/>
      <c r="R182" s="70"/>
      <c r="S182" s="65"/>
      <c r="T182" s="70"/>
    </row>
    <row r="183" spans="1:22" ht="24.75" customHeight="1">
      <c r="A183" s="71"/>
      <c r="B183" s="88"/>
      <c r="C183" s="94">
        <f>E147</f>
        <v>23</v>
      </c>
      <c r="D183" s="88"/>
      <c r="E183" s="90">
        <f>J169</f>
        <v>40.95</v>
      </c>
      <c r="F183" s="88"/>
      <c r="G183" s="113">
        <f>G182*0.04</f>
        <v>31.44</v>
      </c>
      <c r="H183" s="114"/>
      <c r="I183" s="113">
        <f>I182*0.04</f>
        <v>7.228</v>
      </c>
      <c r="J183" s="114"/>
      <c r="K183" s="113">
        <f>K182*0.04</f>
        <v>22.48</v>
      </c>
      <c r="L183" s="114"/>
      <c r="M183" s="113">
        <f>M182*0.04</f>
        <v>33.804</v>
      </c>
      <c r="N183" s="114"/>
      <c r="O183" s="113">
        <f>O182*0.04</f>
        <v>0.30960000000000004</v>
      </c>
      <c r="P183" s="114"/>
      <c r="Q183" s="122">
        <v>15.5</v>
      </c>
      <c r="R183" s="122">
        <v>4.3</v>
      </c>
      <c r="S183" s="72">
        <v>540</v>
      </c>
      <c r="T183" s="88"/>
      <c r="V183" s="105">
        <f>I246</f>
        <v>556</v>
      </c>
    </row>
    <row r="184" spans="1:22" ht="24.75" customHeight="1">
      <c r="A184" s="66" t="s">
        <v>146</v>
      </c>
      <c r="B184" s="112"/>
      <c r="C184" s="111"/>
      <c r="D184" s="112"/>
      <c r="E184" s="51"/>
      <c r="F184" s="112"/>
      <c r="G184" s="94">
        <f>M159</f>
        <v>645</v>
      </c>
      <c r="H184" s="88"/>
      <c r="I184" s="94">
        <f>N158</f>
        <v>180.7</v>
      </c>
      <c r="J184" s="88"/>
      <c r="K184" s="94">
        <f>O165</f>
        <v>611</v>
      </c>
      <c r="L184" s="88"/>
      <c r="M184" s="94">
        <f>O166</f>
        <v>920.7</v>
      </c>
      <c r="N184" s="88"/>
      <c r="O184" s="92">
        <f>L167</f>
        <v>7.74</v>
      </c>
      <c r="P184" s="88"/>
      <c r="Q184" s="123"/>
      <c r="R184" s="123"/>
      <c r="S184" s="65"/>
      <c r="T184" s="70"/>
      <c r="V184" s="137">
        <f>1/I210</f>
        <v>0.3246753246753247</v>
      </c>
    </row>
    <row r="185" spans="1:20" ht="24.75" customHeight="1">
      <c r="A185" s="71"/>
      <c r="B185" s="88"/>
      <c r="C185" s="94">
        <f>E158</f>
        <v>28</v>
      </c>
      <c r="D185" s="88"/>
      <c r="E185" s="90">
        <f>J169</f>
        <v>40.95</v>
      </c>
      <c r="F185" s="88"/>
      <c r="G185" s="113">
        <f>G184*0.04</f>
        <v>25.8</v>
      </c>
      <c r="H185" s="114"/>
      <c r="I185" s="113">
        <f>I184*0.04</f>
        <v>7.228</v>
      </c>
      <c r="J185" s="114"/>
      <c r="K185" s="113">
        <f>K184*0.04</f>
        <v>24.44</v>
      </c>
      <c r="L185" s="114"/>
      <c r="M185" s="113">
        <f>M184*0.04</f>
        <v>36.828</v>
      </c>
      <c r="N185" s="114"/>
      <c r="O185" s="113">
        <f>O184*0.04</f>
        <v>0.30960000000000004</v>
      </c>
      <c r="P185" s="114"/>
      <c r="Q185" s="122">
        <v>15</v>
      </c>
      <c r="R185" s="122">
        <v>4.4</v>
      </c>
      <c r="S185" s="72">
        <v>496</v>
      </c>
      <c r="T185" s="88"/>
    </row>
    <row r="186" spans="1:22" ht="24.75" customHeight="1">
      <c r="A186" s="66" t="s">
        <v>147</v>
      </c>
      <c r="B186" s="112"/>
      <c r="C186" s="111"/>
      <c r="D186" s="112"/>
      <c r="E186" s="51"/>
      <c r="F186" s="112"/>
      <c r="G186" s="94">
        <f>M170</f>
        <v>548</v>
      </c>
      <c r="H186" s="88"/>
      <c r="I186" s="94">
        <f>N169</f>
        <v>180.7</v>
      </c>
      <c r="J186" s="88"/>
      <c r="K186" s="94">
        <f>O176</f>
        <v>644.5175399999999</v>
      </c>
      <c r="L186" s="88"/>
      <c r="M186" s="94">
        <f>O177</f>
        <v>970.6149</v>
      </c>
      <c r="N186" s="88"/>
      <c r="O186" s="92">
        <f>L178</f>
        <v>6.5760000000000005</v>
      </c>
      <c r="P186" s="88"/>
      <c r="Q186" s="123"/>
      <c r="R186" s="123"/>
      <c r="S186" s="65"/>
      <c r="T186" s="70"/>
      <c r="V186" s="7" t="s">
        <v>149</v>
      </c>
    </row>
    <row r="187" spans="1:20" ht="24.75" customHeight="1">
      <c r="A187" s="71"/>
      <c r="B187" s="88"/>
      <c r="C187" s="94">
        <f>E169</f>
        <v>33</v>
      </c>
      <c r="D187" s="88"/>
      <c r="E187" s="90">
        <f>E185</f>
        <v>40.95</v>
      </c>
      <c r="F187" s="88"/>
      <c r="G187" s="113">
        <f>G186*0.04</f>
        <v>21.92</v>
      </c>
      <c r="H187" s="114"/>
      <c r="I187" s="113">
        <f>I186*0.04</f>
        <v>7.228</v>
      </c>
      <c r="J187" s="114"/>
      <c r="K187" s="113">
        <f>K186*0.04</f>
        <v>25.780701599999997</v>
      </c>
      <c r="L187" s="114"/>
      <c r="M187" s="113">
        <f>M186*0.04</f>
        <v>38.824596</v>
      </c>
      <c r="N187" s="114"/>
      <c r="O187" s="113">
        <f>O186*0.04</f>
        <v>0.26304000000000005</v>
      </c>
      <c r="P187" s="114"/>
      <c r="Q187" s="125">
        <v>14.5</v>
      </c>
      <c r="R187" s="122">
        <v>4.3</v>
      </c>
      <c r="S187" s="72">
        <v>454</v>
      </c>
      <c r="T187" s="88"/>
    </row>
    <row r="188" ht="8.25" customHeight="1"/>
    <row r="189" ht="21.75" customHeight="1">
      <c r="A189" s="7" t="s">
        <v>148</v>
      </c>
    </row>
    <row r="190" spans="1:3" ht="21.75" customHeight="1">
      <c r="A190" s="7" t="s">
        <v>149</v>
      </c>
      <c r="B190" s="7" t="s">
        <v>75</v>
      </c>
      <c r="C190" s="7" t="s">
        <v>150</v>
      </c>
    </row>
    <row r="191" spans="3:9" ht="21.75" customHeight="1">
      <c r="C191" s="7" t="s">
        <v>151</v>
      </c>
      <c r="D191" s="7" t="s">
        <v>26</v>
      </c>
      <c r="E191" s="7" t="s">
        <v>152</v>
      </c>
      <c r="F191" s="7" t="s">
        <v>44</v>
      </c>
      <c r="G191" s="7" t="s">
        <v>153</v>
      </c>
      <c r="I191" s="84" t="s">
        <v>154</v>
      </c>
    </row>
    <row r="192" spans="2:3" ht="18" customHeight="1">
      <c r="B192" s="7" t="s">
        <v>75</v>
      </c>
      <c r="C192" s="7" t="s">
        <v>155</v>
      </c>
    </row>
    <row r="193" spans="1:20" ht="17.25" customHeight="1">
      <c r="A193" s="85" t="s">
        <v>156</v>
      </c>
      <c r="B193" s="87"/>
      <c r="C193" s="86" t="s">
        <v>157</v>
      </c>
      <c r="D193" s="86"/>
      <c r="E193" s="86"/>
      <c r="F193" s="87"/>
      <c r="G193" s="86" t="s">
        <v>151</v>
      </c>
      <c r="H193" s="86"/>
      <c r="I193" s="86"/>
      <c r="J193" s="86"/>
      <c r="K193" s="87"/>
      <c r="L193" s="86" t="s">
        <v>158</v>
      </c>
      <c r="M193" s="86"/>
      <c r="N193" s="86"/>
      <c r="O193" s="86"/>
      <c r="P193" s="87"/>
      <c r="Q193" s="86" t="s">
        <v>159</v>
      </c>
      <c r="R193" s="86"/>
      <c r="S193" s="86"/>
      <c r="T193" s="87"/>
    </row>
    <row r="194" spans="1:20" ht="17.25" customHeight="1">
      <c r="A194" s="71">
        <v>1</v>
      </c>
      <c r="B194" s="88"/>
      <c r="C194" s="113">
        <f>ROUND(1/C183*100,3)</f>
        <v>4.348</v>
      </c>
      <c r="D194" s="72"/>
      <c r="E194" s="72"/>
      <c r="F194" s="88"/>
      <c r="G194" s="72">
        <f>S183</f>
        <v>540</v>
      </c>
      <c r="H194" s="72"/>
      <c r="I194" s="72"/>
      <c r="J194" s="72"/>
      <c r="K194" s="88"/>
      <c r="L194" s="113">
        <f>ROUND(C194*C194,3)</f>
        <v>18.905</v>
      </c>
      <c r="M194" s="72"/>
      <c r="N194" s="72"/>
      <c r="O194" s="72"/>
      <c r="P194" s="88"/>
      <c r="Q194" s="113">
        <f>ROUND(C194*G194,3)</f>
        <v>2347.92</v>
      </c>
      <c r="R194" s="72"/>
      <c r="S194" s="72"/>
      <c r="T194" s="88"/>
    </row>
    <row r="195" spans="1:20" ht="17.25" customHeight="1">
      <c r="A195" s="71">
        <v>2</v>
      </c>
      <c r="B195" s="88"/>
      <c r="C195" s="113">
        <f>ROUND(1/C185*100,3)</f>
        <v>3.571</v>
      </c>
      <c r="D195" s="72"/>
      <c r="E195" s="72"/>
      <c r="F195" s="88"/>
      <c r="G195" s="72">
        <f>S185</f>
        <v>496</v>
      </c>
      <c r="H195" s="72"/>
      <c r="I195" s="72"/>
      <c r="J195" s="72"/>
      <c r="K195" s="88"/>
      <c r="L195" s="113">
        <f>ROUND(C195*C195,3)</f>
        <v>12.752</v>
      </c>
      <c r="M195" s="72"/>
      <c r="N195" s="72"/>
      <c r="O195" s="72"/>
      <c r="P195" s="88"/>
      <c r="Q195" s="113">
        <f>ROUND(C195*G195,3)</f>
        <v>1771.216</v>
      </c>
      <c r="R195" s="72"/>
      <c r="S195" s="72"/>
      <c r="T195" s="88"/>
    </row>
    <row r="196" spans="1:20" ht="17.25" customHeight="1">
      <c r="A196" s="71">
        <v>3</v>
      </c>
      <c r="B196" s="88"/>
      <c r="C196" s="113">
        <f>ROUND(1/C187*100,3)</f>
        <v>3.03</v>
      </c>
      <c r="D196" s="72"/>
      <c r="E196" s="72"/>
      <c r="F196" s="88"/>
      <c r="G196" s="72">
        <f>S187</f>
        <v>454</v>
      </c>
      <c r="H196" s="72"/>
      <c r="I196" s="72"/>
      <c r="J196" s="72"/>
      <c r="K196" s="88"/>
      <c r="L196" s="113">
        <f>ROUND(C196*C196,3)</f>
        <v>9.181</v>
      </c>
      <c r="M196" s="72"/>
      <c r="N196" s="72"/>
      <c r="O196" s="72"/>
      <c r="P196" s="88"/>
      <c r="Q196" s="113">
        <f>ROUND(C196*G196,3)</f>
        <v>1375.62</v>
      </c>
      <c r="R196" s="72"/>
      <c r="S196" s="72"/>
      <c r="T196" s="88"/>
    </row>
    <row r="197" spans="1:20" ht="17.25" customHeight="1">
      <c r="A197" s="71" t="s">
        <v>160</v>
      </c>
      <c r="B197" s="88"/>
      <c r="C197" s="113">
        <f>SUM(C194:C196)</f>
        <v>10.949</v>
      </c>
      <c r="D197" s="72"/>
      <c r="E197" s="72"/>
      <c r="F197" s="88"/>
      <c r="G197" s="72">
        <f>SUM(G194:G196)</f>
        <v>1490</v>
      </c>
      <c r="H197" s="72"/>
      <c r="I197" s="72"/>
      <c r="J197" s="72"/>
      <c r="K197" s="88"/>
      <c r="L197" s="113">
        <f>SUM(L194:L196)</f>
        <v>40.838</v>
      </c>
      <c r="M197" s="72"/>
      <c r="N197" s="72"/>
      <c r="O197" s="72"/>
      <c r="P197" s="88"/>
      <c r="Q197" s="113">
        <f>SUM(Q194:Q196)</f>
        <v>5494.756</v>
      </c>
      <c r="R197" s="72"/>
      <c r="S197" s="72"/>
      <c r="T197" s="88"/>
    </row>
    <row r="198" spans="2:16" ht="16.5" customHeight="1">
      <c r="B198" s="7" t="s">
        <v>75</v>
      </c>
      <c r="C198" s="7" t="s">
        <v>161</v>
      </c>
      <c r="P198" s="65"/>
    </row>
    <row r="199" ht="10.5" customHeight="1"/>
    <row r="200" spans="3:17" ht="16.5" customHeight="1">
      <c r="C200" s="7" t="s">
        <v>162</v>
      </c>
      <c r="E200" s="126" t="s">
        <v>163</v>
      </c>
      <c r="F200" s="76"/>
      <c r="G200" s="76"/>
      <c r="H200" s="126" t="s">
        <v>164</v>
      </c>
      <c r="I200" s="76"/>
      <c r="J200" s="127" t="s">
        <v>26</v>
      </c>
      <c r="L200" s="72">
        <f>ROUND((L197*G197-C197*Q197),3)</f>
        <v>686.537</v>
      </c>
      <c r="M200" s="72"/>
      <c r="O200" s="7" t="s">
        <v>26</v>
      </c>
      <c r="P200" s="107">
        <f>ROUND(L200/L201,2)</f>
        <v>260.74</v>
      </c>
      <c r="Q200" s="108"/>
    </row>
    <row r="201" spans="5:13" ht="16.5" customHeight="1">
      <c r="E201" s="78" t="s">
        <v>165</v>
      </c>
      <c r="F201" s="78"/>
      <c r="G201" s="78" t="s">
        <v>75</v>
      </c>
      <c r="H201" s="7" t="s">
        <v>198</v>
      </c>
      <c r="L201" s="108">
        <f>ROUND(3*L197-C197*C197,3)</f>
        <v>2.633</v>
      </c>
      <c r="M201" s="78"/>
    </row>
    <row r="202" ht="16.5" customHeight="1"/>
    <row r="203" spans="3:17" ht="16.5" customHeight="1">
      <c r="C203" s="7" t="s">
        <v>166</v>
      </c>
      <c r="E203" s="76" t="s">
        <v>167</v>
      </c>
      <c r="F203" s="76"/>
      <c r="G203" s="72" t="s">
        <v>75</v>
      </c>
      <c r="H203" s="76" t="s">
        <v>168</v>
      </c>
      <c r="I203" s="76"/>
      <c r="J203" s="127" t="s">
        <v>26</v>
      </c>
      <c r="L203" s="113">
        <f>ROUND((3*Q197)-(C197*G197),3)</f>
        <v>170.258</v>
      </c>
      <c r="M203" s="113"/>
      <c r="O203" s="7" t="s">
        <v>26</v>
      </c>
      <c r="P203" s="107">
        <f>ROUND(L203/L204,2)</f>
        <v>64.66</v>
      </c>
      <c r="Q203" s="107"/>
    </row>
    <row r="204" spans="5:13" ht="16.5" customHeight="1">
      <c r="E204" s="7" t="s">
        <v>165</v>
      </c>
      <c r="G204" s="78" t="s">
        <v>75</v>
      </c>
      <c r="H204" s="7" t="s">
        <v>198</v>
      </c>
      <c r="L204" s="108">
        <f>ROUND(3*L197-C197*C197,3)</f>
        <v>2.633</v>
      </c>
      <c r="M204" s="108"/>
    </row>
    <row r="205" spans="23:24" ht="8.25" customHeight="1">
      <c r="W205" s="105">
        <f>C183</f>
        <v>23</v>
      </c>
      <c r="X205" s="7">
        <f>S183</f>
        <v>540</v>
      </c>
    </row>
    <row r="206" spans="2:24" ht="16.5" customHeight="1">
      <c r="B206" s="7" t="s">
        <v>75</v>
      </c>
      <c r="C206" s="84" t="s">
        <v>169</v>
      </c>
      <c r="M206" s="7" t="s">
        <v>170</v>
      </c>
      <c r="W206" s="105">
        <f>C185</f>
        <v>28</v>
      </c>
      <c r="X206" s="7">
        <f>S185</f>
        <v>496</v>
      </c>
    </row>
    <row r="207" spans="23:24" ht="16.5" customHeight="1">
      <c r="W207" s="105">
        <f>C187</f>
        <v>33</v>
      </c>
      <c r="X207" s="7">
        <f>S187</f>
        <v>454</v>
      </c>
    </row>
    <row r="208" spans="3:18" ht="16.5" customHeight="1">
      <c r="C208" s="79">
        <f>J19</f>
        <v>460</v>
      </c>
      <c r="D208" s="79"/>
      <c r="E208" s="78" t="s">
        <v>26</v>
      </c>
      <c r="F208" s="107">
        <f>P200</f>
        <v>260.74</v>
      </c>
      <c r="G208" s="78"/>
      <c r="H208" s="78" t="s">
        <v>44</v>
      </c>
      <c r="I208" s="107">
        <f>P203</f>
        <v>64.66</v>
      </c>
      <c r="J208" s="78"/>
      <c r="K208" s="7" t="s">
        <v>45</v>
      </c>
      <c r="L208" s="78"/>
      <c r="M208" s="78"/>
      <c r="N208" s="107"/>
      <c r="O208" s="78"/>
      <c r="Q208" s="107"/>
      <c r="R208" s="107"/>
    </row>
    <row r="209" ht="16.5" customHeight="1"/>
    <row r="210" spans="3:11" ht="16.5" customHeight="1">
      <c r="C210" s="7" t="s">
        <v>45</v>
      </c>
      <c r="E210" s="78" t="s">
        <v>26</v>
      </c>
      <c r="F210" s="92">
        <f>ROUND(C208-F208,2)</f>
        <v>199.26</v>
      </c>
      <c r="G210" s="94"/>
      <c r="H210" s="78" t="s">
        <v>26</v>
      </c>
      <c r="I210" s="107">
        <f>ROUND(F210/F211,2)</f>
        <v>3.08</v>
      </c>
      <c r="J210" s="107"/>
      <c r="K210" s="119"/>
    </row>
    <row r="211" spans="6:7" ht="16.5" customHeight="1">
      <c r="F211" s="107">
        <f>I208</f>
        <v>64.66</v>
      </c>
      <c r="G211" s="78"/>
    </row>
    <row r="212" ht="16.5" customHeight="1"/>
    <row r="213" spans="3:8" ht="16.5" customHeight="1">
      <c r="C213" s="7" t="s">
        <v>57</v>
      </c>
      <c r="D213" s="7" t="s">
        <v>47</v>
      </c>
      <c r="E213" s="7" t="s">
        <v>26</v>
      </c>
      <c r="F213" s="83">
        <f>ROUND(F211/F210*100,3)</f>
        <v>32.45</v>
      </c>
      <c r="G213" s="83"/>
      <c r="H213" s="7" t="s">
        <v>11</v>
      </c>
    </row>
    <row r="214" ht="16.5" customHeight="1"/>
    <row r="215" ht="16.5" customHeight="1"/>
    <row r="216" ht="16.5" customHeight="1"/>
    <row r="217" ht="16.5" customHeight="1"/>
    <row r="218" ht="26.25" customHeight="1"/>
    <row r="219" ht="22.5" customHeight="1"/>
    <row r="220" ht="16.5" customHeight="1">
      <c r="A220" s="7" t="s">
        <v>171</v>
      </c>
    </row>
    <row r="221" spans="1:18" ht="16.5" customHeight="1">
      <c r="A221" s="7" t="s">
        <v>85</v>
      </c>
      <c r="B221" s="7" t="s">
        <v>86</v>
      </c>
      <c r="F221" s="7" t="s">
        <v>34</v>
      </c>
      <c r="G221" s="7" t="s">
        <v>87</v>
      </c>
      <c r="L221" s="115">
        <f>F213</f>
        <v>32.45</v>
      </c>
      <c r="M221" s="84" t="s">
        <v>88</v>
      </c>
      <c r="O221" s="79">
        <f>I182</f>
        <v>180.7</v>
      </c>
      <c r="P221" s="83"/>
      <c r="Q221" s="7" t="s">
        <v>89</v>
      </c>
      <c r="R221" s="7" t="s">
        <v>90</v>
      </c>
    </row>
    <row r="222" spans="6:15" ht="16.5" customHeight="1">
      <c r="F222" s="7" t="s">
        <v>91</v>
      </c>
      <c r="G222" s="79">
        <f>O221</f>
        <v>180.7</v>
      </c>
      <c r="H222" s="78"/>
      <c r="I222" s="106" t="s">
        <v>76</v>
      </c>
      <c r="J222" s="108">
        <f>ROUND(L221/100,3)</f>
        <v>0.325</v>
      </c>
      <c r="K222" s="107"/>
      <c r="L222" s="7" t="s">
        <v>26</v>
      </c>
      <c r="M222" s="79">
        <f>ROUND(G222/J222,0)</f>
        <v>556</v>
      </c>
      <c r="N222" s="79"/>
      <c r="O222" s="7" t="s">
        <v>89</v>
      </c>
    </row>
    <row r="223" spans="1:15" ht="16.5" customHeight="1">
      <c r="A223" s="7" t="s">
        <v>85</v>
      </c>
      <c r="B223" s="7" t="s">
        <v>92</v>
      </c>
      <c r="F223" s="7" t="s">
        <v>91</v>
      </c>
      <c r="G223" s="79">
        <f>M222</f>
        <v>556</v>
      </c>
      <c r="H223" s="78"/>
      <c r="I223" s="106" t="s">
        <v>76</v>
      </c>
      <c r="J223" s="78">
        <f>J171</f>
        <v>3.05</v>
      </c>
      <c r="K223" s="78"/>
      <c r="L223" s="7" t="s">
        <v>26</v>
      </c>
      <c r="M223" s="79">
        <f>ROUND(G223/J223,0)</f>
        <v>182</v>
      </c>
      <c r="N223" s="79"/>
      <c r="O223" s="7" t="s">
        <v>93</v>
      </c>
    </row>
    <row r="224" spans="1:15" ht="16.5" customHeight="1">
      <c r="A224" s="7" t="s">
        <v>85</v>
      </c>
      <c r="B224" s="7" t="s">
        <v>94</v>
      </c>
      <c r="M224" s="78">
        <f>M172</f>
        <v>30</v>
      </c>
      <c r="N224" s="78"/>
      <c r="O224" s="7" t="s">
        <v>93</v>
      </c>
    </row>
    <row r="225" spans="1:20" ht="16.5" customHeight="1">
      <c r="A225" s="7" t="s">
        <v>85</v>
      </c>
      <c r="B225" s="7" t="s">
        <v>95</v>
      </c>
      <c r="F225" s="84" t="s">
        <v>96</v>
      </c>
      <c r="G225" s="7" t="s">
        <v>48</v>
      </c>
      <c r="H225" s="108">
        <f>M223/1000</f>
        <v>0.182</v>
      </c>
      <c r="I225" s="108"/>
      <c r="J225" s="108" t="s">
        <v>44</v>
      </c>
      <c r="K225" s="108">
        <f>O221/1000</f>
        <v>0.1807</v>
      </c>
      <c r="L225" s="108"/>
      <c r="M225" s="78" t="s">
        <v>44</v>
      </c>
      <c r="N225" s="78">
        <f>M224/1000</f>
        <v>0.03</v>
      </c>
      <c r="O225" s="78"/>
      <c r="P225" s="7" t="s">
        <v>3</v>
      </c>
      <c r="Q225" s="7" t="s">
        <v>26</v>
      </c>
      <c r="R225" s="128">
        <f>1-(H225+K225+N225)</f>
        <v>0.6073</v>
      </c>
      <c r="S225" s="107"/>
      <c r="T225" s="84" t="s">
        <v>97</v>
      </c>
    </row>
    <row r="226" spans="1:14" ht="16.5" customHeight="1">
      <c r="A226" s="7" t="s">
        <v>85</v>
      </c>
      <c r="B226" s="7" t="s">
        <v>98</v>
      </c>
      <c r="F226" s="128">
        <f>R225</f>
        <v>0.6073</v>
      </c>
      <c r="G226" s="78"/>
      <c r="H226" s="82" t="s">
        <v>28</v>
      </c>
      <c r="I226" s="128">
        <f>ROUND(E187/100,4)</f>
        <v>0.4095</v>
      </c>
      <c r="J226" s="128"/>
      <c r="K226" s="78" t="s">
        <v>26</v>
      </c>
      <c r="L226" s="128">
        <f>ROUND(F226*I226,4)</f>
        <v>0.2487</v>
      </c>
      <c r="M226" s="128"/>
      <c r="N226" s="84" t="s">
        <v>97</v>
      </c>
    </row>
    <row r="227" spans="1:14" ht="16.5" customHeight="1">
      <c r="A227" s="7" t="s">
        <v>85</v>
      </c>
      <c r="B227" s="7" t="s">
        <v>99</v>
      </c>
      <c r="F227" s="128">
        <f>R225</f>
        <v>0.6073</v>
      </c>
      <c r="G227" s="78"/>
      <c r="H227" s="78" t="s">
        <v>75</v>
      </c>
      <c r="I227" s="128">
        <f>L226</f>
        <v>0.2487</v>
      </c>
      <c r="J227" s="128"/>
      <c r="K227" s="78" t="s">
        <v>26</v>
      </c>
      <c r="L227" s="128">
        <f>ROUND(F227-I227,4)</f>
        <v>0.3586</v>
      </c>
      <c r="M227" s="128"/>
      <c r="N227" s="84" t="s">
        <v>97</v>
      </c>
    </row>
    <row r="228" spans="1:17" ht="16.5" customHeight="1">
      <c r="A228" s="7" t="s">
        <v>85</v>
      </c>
      <c r="B228" s="7" t="s">
        <v>100</v>
      </c>
      <c r="F228" s="128">
        <f>L226</f>
        <v>0.2487</v>
      </c>
      <c r="G228" s="78"/>
      <c r="H228" s="82" t="s">
        <v>28</v>
      </c>
      <c r="I228" s="78">
        <f>I176</f>
        <v>2.58</v>
      </c>
      <c r="J228" s="78"/>
      <c r="K228" s="82" t="s">
        <v>28</v>
      </c>
      <c r="L228" s="78">
        <v>1000</v>
      </c>
      <c r="M228" s="78"/>
      <c r="N228" s="78" t="s">
        <v>26</v>
      </c>
      <c r="O228" s="79">
        <f>F228*I228*L228</f>
        <v>641.6460000000001</v>
      </c>
      <c r="P228" s="79"/>
      <c r="Q228" s="7" t="s">
        <v>89</v>
      </c>
    </row>
    <row r="229" spans="1:17" ht="16.5" customHeight="1">
      <c r="A229" s="7" t="s">
        <v>85</v>
      </c>
      <c r="B229" s="7" t="s">
        <v>101</v>
      </c>
      <c r="F229" s="128">
        <f>L227</f>
        <v>0.3586</v>
      </c>
      <c r="G229" s="78"/>
      <c r="H229" s="82" t="s">
        <v>28</v>
      </c>
      <c r="I229" s="107">
        <f>I177</f>
        <v>2.7</v>
      </c>
      <c r="J229" s="78"/>
      <c r="K229" s="82" t="s">
        <v>28</v>
      </c>
      <c r="L229" s="78">
        <v>1000</v>
      </c>
      <c r="M229" s="78"/>
      <c r="N229" s="78" t="s">
        <v>26</v>
      </c>
      <c r="O229" s="79">
        <v>966</v>
      </c>
      <c r="P229" s="79"/>
      <c r="Q229" s="7" t="s">
        <v>89</v>
      </c>
    </row>
    <row r="230" spans="1:14" ht="16.5" customHeight="1">
      <c r="A230" s="7" t="s">
        <v>85</v>
      </c>
      <c r="B230" s="7" t="s">
        <v>102</v>
      </c>
      <c r="F230" s="79">
        <f>I236</f>
        <v>556</v>
      </c>
      <c r="G230" s="78"/>
      <c r="H230" s="82" t="s">
        <v>28</v>
      </c>
      <c r="I230" s="78">
        <f>I178</f>
        <v>0.012</v>
      </c>
      <c r="J230" s="78"/>
      <c r="K230" s="78" t="s">
        <v>26</v>
      </c>
      <c r="L230" s="107">
        <f>F230*I230</f>
        <v>6.672</v>
      </c>
      <c r="M230" s="107"/>
      <c r="N230" s="7" t="s">
        <v>89</v>
      </c>
    </row>
    <row r="231" ht="10.5" customHeight="1"/>
    <row r="232" ht="16.5" customHeight="1">
      <c r="A232" s="7" t="s">
        <v>172</v>
      </c>
    </row>
    <row r="233" ht="16.5" customHeight="1">
      <c r="A233" s="7" t="s">
        <v>173</v>
      </c>
    </row>
    <row r="234" spans="1:20" ht="16.5" customHeight="1">
      <c r="A234" s="31" t="s">
        <v>106</v>
      </c>
      <c r="B234" s="109"/>
      <c r="C234" s="32" t="s">
        <v>47</v>
      </c>
      <c r="D234" s="109"/>
      <c r="E234" s="32" t="s">
        <v>107</v>
      </c>
      <c r="F234" s="109"/>
      <c r="G234" s="32" t="s">
        <v>66</v>
      </c>
      <c r="H234" s="109"/>
      <c r="I234" s="86" t="s">
        <v>108</v>
      </c>
      <c r="J234" s="86"/>
      <c r="K234" s="86"/>
      <c r="L234" s="86"/>
      <c r="M234" s="86"/>
      <c r="N234" s="86"/>
      <c r="O234" s="86"/>
      <c r="P234" s="86"/>
      <c r="Q234" s="86"/>
      <c r="R234" s="87"/>
      <c r="S234" s="32" t="s">
        <v>69</v>
      </c>
      <c r="T234" s="109"/>
    </row>
    <row r="235" spans="1:20" ht="16.5" customHeight="1">
      <c r="A235" s="71"/>
      <c r="B235" s="88"/>
      <c r="C235" s="72" t="s">
        <v>109</v>
      </c>
      <c r="D235" s="88"/>
      <c r="E235" s="89"/>
      <c r="F235" s="88"/>
      <c r="G235" s="72" t="s">
        <v>110</v>
      </c>
      <c r="H235" s="88"/>
      <c r="I235" s="72" t="s">
        <v>111</v>
      </c>
      <c r="J235" s="88"/>
      <c r="K235" s="72" t="s">
        <v>67</v>
      </c>
      <c r="L235" s="88"/>
      <c r="M235" s="72" t="s">
        <v>112</v>
      </c>
      <c r="N235" s="88"/>
      <c r="O235" s="72" t="s">
        <v>113</v>
      </c>
      <c r="P235" s="88"/>
      <c r="Q235" s="72" t="s">
        <v>114</v>
      </c>
      <c r="R235" s="88"/>
      <c r="S235" s="89"/>
      <c r="T235" s="88"/>
    </row>
    <row r="236" spans="1:20" ht="16.5" customHeight="1">
      <c r="A236" s="71">
        <v>1</v>
      </c>
      <c r="B236" s="110" t="s">
        <v>97</v>
      </c>
      <c r="C236" s="111"/>
      <c r="D236" s="112"/>
      <c r="E236" s="51"/>
      <c r="F236" s="112"/>
      <c r="G236" s="51"/>
      <c r="H236" s="112"/>
      <c r="I236" s="94">
        <f>M222</f>
        <v>556</v>
      </c>
      <c r="J236" s="88"/>
      <c r="K236" s="94">
        <f>O221</f>
        <v>180.7</v>
      </c>
      <c r="L236" s="88"/>
      <c r="M236" s="94">
        <f>O228</f>
        <v>641.6460000000001</v>
      </c>
      <c r="N236" s="88"/>
      <c r="O236" s="94">
        <f>O229</f>
        <v>966</v>
      </c>
      <c r="P236" s="88"/>
      <c r="Q236" s="92">
        <f>L230</f>
        <v>6.672</v>
      </c>
      <c r="R236" s="88"/>
      <c r="S236" s="111"/>
      <c r="T236" s="112"/>
    </row>
    <row r="237" spans="1:20" ht="16.5" customHeight="1">
      <c r="A237" s="71" t="s">
        <v>115</v>
      </c>
      <c r="B237" s="88"/>
      <c r="C237" s="90">
        <f>F213</f>
        <v>32.45</v>
      </c>
      <c r="D237" s="88"/>
      <c r="E237" s="72">
        <f>E139</f>
        <v>15</v>
      </c>
      <c r="F237" s="88"/>
      <c r="G237" s="90">
        <f>E185</f>
        <v>40.95</v>
      </c>
      <c r="H237" s="88"/>
      <c r="I237" s="113">
        <f>I236*0.04</f>
        <v>22.240000000000002</v>
      </c>
      <c r="J237" s="114"/>
      <c r="K237" s="113">
        <f>K236*0.04</f>
        <v>7.228</v>
      </c>
      <c r="L237" s="114"/>
      <c r="M237" s="113">
        <f>M236*0.04</f>
        <v>25.665840000000003</v>
      </c>
      <c r="N237" s="114"/>
      <c r="O237" s="113">
        <f>O236*0.04</f>
        <v>38.64</v>
      </c>
      <c r="P237" s="114"/>
      <c r="Q237" s="113">
        <f>Q236*0.04</f>
        <v>0.26688</v>
      </c>
      <c r="R237" s="114"/>
      <c r="S237" s="89"/>
      <c r="T237" s="88"/>
    </row>
    <row r="238" ht="16.5" customHeight="1"/>
    <row r="239" ht="16.5" customHeight="1">
      <c r="A239" s="7" t="s">
        <v>174</v>
      </c>
    </row>
    <row r="240" spans="1:20" ht="16.5" customHeight="1">
      <c r="A240" s="85" t="s">
        <v>117</v>
      </c>
      <c r="B240" s="86"/>
      <c r="C240" s="86"/>
      <c r="D240" s="86"/>
      <c r="E240" s="87"/>
      <c r="F240" s="86" t="s">
        <v>118</v>
      </c>
      <c r="G240" s="86"/>
      <c r="H240" s="86"/>
      <c r="I240" s="86"/>
      <c r="J240" s="87"/>
      <c r="K240" s="86" t="s">
        <v>119</v>
      </c>
      <c r="L240" s="86"/>
      <c r="M240" s="86"/>
      <c r="N240" s="86"/>
      <c r="O240" s="87"/>
      <c r="P240" s="86" t="s">
        <v>120</v>
      </c>
      <c r="Q240" s="86"/>
      <c r="R240" s="86"/>
      <c r="S240" s="86"/>
      <c r="T240" s="87"/>
    </row>
    <row r="241" spans="1:20" ht="16.5" customHeight="1">
      <c r="A241" s="71">
        <f>E237</f>
        <v>15</v>
      </c>
      <c r="B241" s="72"/>
      <c r="C241" s="72"/>
      <c r="D241" s="72"/>
      <c r="E241" s="88"/>
      <c r="F241" s="72">
        <v>4.5</v>
      </c>
      <c r="G241" s="72"/>
      <c r="H241" s="72"/>
      <c r="I241" s="72"/>
      <c r="J241" s="88"/>
      <c r="K241" s="72" t="s">
        <v>132</v>
      </c>
      <c r="L241" s="72"/>
      <c r="M241" s="72"/>
      <c r="N241" s="72"/>
      <c r="O241" s="88"/>
      <c r="P241" s="89"/>
      <c r="Q241" s="72"/>
      <c r="R241" s="72"/>
      <c r="S241" s="72"/>
      <c r="T241" s="88"/>
    </row>
    <row r="242" ht="16.5" customHeight="1"/>
    <row r="243" ht="16.5" customHeight="1">
      <c r="A243" s="7" t="s">
        <v>175</v>
      </c>
    </row>
    <row r="244" spans="1:20" ht="16.5" customHeight="1">
      <c r="A244" s="31" t="s">
        <v>106</v>
      </c>
      <c r="B244" s="109"/>
      <c r="C244" s="32" t="s">
        <v>47</v>
      </c>
      <c r="D244" s="109"/>
      <c r="E244" s="32" t="s">
        <v>176</v>
      </c>
      <c r="F244" s="109"/>
      <c r="G244" s="32" t="s">
        <v>66</v>
      </c>
      <c r="H244" s="109"/>
      <c r="I244" s="86" t="s">
        <v>108</v>
      </c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7"/>
    </row>
    <row r="245" spans="1:20" ht="16.5" customHeight="1">
      <c r="A245" s="71"/>
      <c r="B245" s="88"/>
      <c r="C245" s="72" t="s">
        <v>109</v>
      </c>
      <c r="D245" s="88"/>
      <c r="E245" s="72" t="s">
        <v>110</v>
      </c>
      <c r="F245" s="88"/>
      <c r="G245" s="72" t="s">
        <v>109</v>
      </c>
      <c r="H245" s="88"/>
      <c r="I245" s="72" t="s">
        <v>111</v>
      </c>
      <c r="J245" s="88"/>
      <c r="K245" s="72" t="s">
        <v>67</v>
      </c>
      <c r="L245" s="88"/>
      <c r="M245" s="72" t="s">
        <v>112</v>
      </c>
      <c r="N245" s="88"/>
      <c r="O245" s="72" t="s">
        <v>113</v>
      </c>
      <c r="P245" s="88"/>
      <c r="Q245" s="85" t="s">
        <v>114</v>
      </c>
      <c r="R245" s="87"/>
      <c r="S245" s="72" t="s">
        <v>177</v>
      </c>
      <c r="T245" s="88"/>
    </row>
    <row r="246" spans="1:20" ht="16.5" customHeight="1">
      <c r="A246" s="71">
        <v>1</v>
      </c>
      <c r="B246" s="110" t="s">
        <v>97</v>
      </c>
      <c r="C246" s="90">
        <f>C237</f>
        <v>32.45</v>
      </c>
      <c r="D246" s="88"/>
      <c r="E246" s="72">
        <f>E237</f>
        <v>15</v>
      </c>
      <c r="F246" s="88"/>
      <c r="G246" s="90">
        <f>G237</f>
        <v>40.95</v>
      </c>
      <c r="H246" s="88"/>
      <c r="I246" s="94">
        <f>I236</f>
        <v>556</v>
      </c>
      <c r="J246" s="88"/>
      <c r="K246" s="94">
        <f>K236</f>
        <v>180.7</v>
      </c>
      <c r="L246" s="88"/>
      <c r="M246" s="94">
        <f>M236</f>
        <v>641.6460000000001</v>
      </c>
      <c r="N246" s="88"/>
      <c r="O246" s="94">
        <v>966</v>
      </c>
      <c r="P246" s="88"/>
      <c r="Q246" s="129">
        <f>Q236</f>
        <v>6.672</v>
      </c>
      <c r="R246" s="87"/>
      <c r="S246" s="94">
        <v>2331</v>
      </c>
      <c r="T246" s="88"/>
    </row>
    <row r="247" spans="1:2" ht="23.25" customHeight="1">
      <c r="A247" s="7" t="s">
        <v>178</v>
      </c>
      <c r="B247" s="65"/>
    </row>
    <row r="248" spans="1:20" ht="17.25" customHeight="1">
      <c r="A248" s="31"/>
      <c r="B248" s="32"/>
      <c r="C248" s="109"/>
      <c r="D248" s="32" t="s">
        <v>77</v>
      </c>
      <c r="E248" s="109"/>
      <c r="F248" s="32" t="s">
        <v>66</v>
      </c>
      <c r="G248" s="109"/>
      <c r="H248" s="32" t="s">
        <v>176</v>
      </c>
      <c r="I248" s="109"/>
      <c r="J248" s="32" t="s">
        <v>179</v>
      </c>
      <c r="K248" s="109"/>
      <c r="L248" s="130" t="s">
        <v>180</v>
      </c>
      <c r="M248" s="86"/>
      <c r="N248" s="86"/>
      <c r="O248" s="86"/>
      <c r="P248" s="86"/>
      <c r="Q248" s="86"/>
      <c r="R248" s="86"/>
      <c r="S248" s="86"/>
      <c r="T248" s="87"/>
    </row>
    <row r="249" spans="1:20" ht="17.25" customHeight="1">
      <c r="A249" s="71" t="s">
        <v>106</v>
      </c>
      <c r="B249" s="72"/>
      <c r="C249" s="88"/>
      <c r="D249" s="72" t="s">
        <v>109</v>
      </c>
      <c r="E249" s="88"/>
      <c r="F249" s="72" t="s">
        <v>109</v>
      </c>
      <c r="G249" s="88"/>
      <c r="H249" s="72" t="s">
        <v>181</v>
      </c>
      <c r="I249" s="88"/>
      <c r="J249" s="72" t="s">
        <v>109</v>
      </c>
      <c r="K249" s="88"/>
      <c r="L249" s="71" t="s">
        <v>182</v>
      </c>
      <c r="M249" s="72"/>
      <c r="N249" s="88"/>
      <c r="O249" s="71" t="s">
        <v>183</v>
      </c>
      <c r="P249" s="72"/>
      <c r="Q249" s="88"/>
      <c r="R249" s="71" t="s">
        <v>184</v>
      </c>
      <c r="S249" s="72"/>
      <c r="T249" s="88"/>
    </row>
    <row r="250" spans="1:20" ht="17.25" customHeight="1">
      <c r="A250" s="31"/>
      <c r="B250" s="51"/>
      <c r="C250" s="112"/>
      <c r="D250" s="31"/>
      <c r="E250" s="109"/>
      <c r="F250" s="31"/>
      <c r="G250" s="109"/>
      <c r="H250" s="31"/>
      <c r="I250" s="109"/>
      <c r="J250" s="31"/>
      <c r="K250" s="109"/>
      <c r="L250" s="85" t="s">
        <v>185</v>
      </c>
      <c r="M250" s="86"/>
      <c r="N250" s="87"/>
      <c r="O250" s="86">
        <v>306</v>
      </c>
      <c r="P250" s="86"/>
      <c r="Q250" s="87"/>
      <c r="R250" s="86">
        <v>458</v>
      </c>
      <c r="S250" s="86"/>
      <c r="T250" s="87"/>
    </row>
    <row r="251" spans="1:20" ht="17.25" customHeight="1">
      <c r="A251" s="66" t="s">
        <v>186</v>
      </c>
      <c r="B251" s="51"/>
      <c r="C251" s="112"/>
      <c r="D251" s="131"/>
      <c r="E251" s="112"/>
      <c r="F251" s="66"/>
      <c r="G251" s="112"/>
      <c r="H251" s="66"/>
      <c r="I251" s="112"/>
      <c r="J251" s="66"/>
      <c r="K251" s="112"/>
      <c r="L251" s="85" t="s">
        <v>187</v>
      </c>
      <c r="M251" s="86"/>
      <c r="N251" s="87"/>
      <c r="O251" s="86">
        <v>299</v>
      </c>
      <c r="P251" s="86"/>
      <c r="Q251" s="87"/>
      <c r="R251" s="86">
        <v>455</v>
      </c>
      <c r="S251" s="86"/>
      <c r="T251" s="87"/>
    </row>
    <row r="252" spans="1:20" ht="17.25" customHeight="1">
      <c r="A252" s="66" t="s">
        <v>188</v>
      </c>
      <c r="B252" s="51"/>
      <c r="C252" s="112"/>
      <c r="D252" s="132">
        <f>C246</f>
        <v>32.45</v>
      </c>
      <c r="E252" s="112"/>
      <c r="F252" s="132">
        <f>G246</f>
        <v>40.95</v>
      </c>
      <c r="G252" s="112"/>
      <c r="H252" s="66">
        <v>8.5</v>
      </c>
      <c r="I252" s="112"/>
      <c r="J252" s="66">
        <v>4.4</v>
      </c>
      <c r="K252" s="112"/>
      <c r="L252" s="85" t="s">
        <v>189</v>
      </c>
      <c r="M252" s="86"/>
      <c r="N252" s="87"/>
      <c r="O252" s="86">
        <v>301</v>
      </c>
      <c r="P252" s="86"/>
      <c r="Q252" s="87"/>
      <c r="R252" s="86">
        <v>457</v>
      </c>
      <c r="S252" s="86"/>
      <c r="T252" s="87"/>
    </row>
    <row r="253" spans="1:20" ht="17.25" customHeight="1">
      <c r="A253" s="71"/>
      <c r="B253" s="72"/>
      <c r="C253" s="88"/>
      <c r="D253" s="71"/>
      <c r="E253" s="88"/>
      <c r="F253" s="71"/>
      <c r="G253" s="88"/>
      <c r="H253" s="71"/>
      <c r="I253" s="88"/>
      <c r="J253" s="71"/>
      <c r="K253" s="88"/>
      <c r="L253" s="85" t="s">
        <v>190</v>
      </c>
      <c r="M253" s="86"/>
      <c r="N253" s="87"/>
      <c r="O253" s="133">
        <f>AVERAGE(O250:O252)</f>
        <v>302</v>
      </c>
      <c r="P253" s="86"/>
      <c r="Q253" s="87"/>
      <c r="R253" s="133">
        <f>AVERAGE(R250:R252)</f>
        <v>456.6666666666667</v>
      </c>
      <c r="S253" s="86"/>
      <c r="T253" s="87"/>
    </row>
    <row r="254" spans="1:20" ht="17.25" customHeight="1">
      <c r="A254" s="31"/>
      <c r="B254" s="51"/>
      <c r="C254" s="112"/>
      <c r="D254" s="31"/>
      <c r="E254" s="109"/>
      <c r="F254" s="31"/>
      <c r="G254" s="109"/>
      <c r="H254" s="31"/>
      <c r="I254" s="109"/>
      <c r="J254" s="31"/>
      <c r="K254" s="109"/>
      <c r="L254" s="85" t="s">
        <v>185</v>
      </c>
      <c r="M254" s="86"/>
      <c r="N254" s="87"/>
      <c r="O254" s="86">
        <v>301</v>
      </c>
      <c r="P254" s="86"/>
      <c r="Q254" s="87"/>
      <c r="R254" s="86">
        <v>453</v>
      </c>
      <c r="S254" s="86"/>
      <c r="T254" s="87"/>
    </row>
    <row r="255" spans="1:20" ht="17.25" customHeight="1">
      <c r="A255" s="134" t="s">
        <v>191</v>
      </c>
      <c r="B255" s="51"/>
      <c r="C255" s="112"/>
      <c r="D255" s="131"/>
      <c r="E255" s="112"/>
      <c r="F255" s="66"/>
      <c r="G255" s="112"/>
      <c r="H255" s="66"/>
      <c r="I255" s="112"/>
      <c r="J255" s="66"/>
      <c r="K255" s="112"/>
      <c r="L255" s="85" t="s">
        <v>187</v>
      </c>
      <c r="M255" s="86"/>
      <c r="N255" s="87"/>
      <c r="O255" s="86">
        <v>308</v>
      </c>
      <c r="P255" s="86"/>
      <c r="Q255" s="87"/>
      <c r="R255" s="86">
        <v>451</v>
      </c>
      <c r="S255" s="86"/>
      <c r="T255" s="87"/>
    </row>
    <row r="256" spans="1:20" ht="17.25" customHeight="1">
      <c r="A256" s="66" t="s">
        <v>188</v>
      </c>
      <c r="B256" s="51"/>
      <c r="C256" s="112"/>
      <c r="D256" s="132">
        <f>C246</f>
        <v>32.45</v>
      </c>
      <c r="E256" s="112"/>
      <c r="F256" s="132">
        <f>G246</f>
        <v>40.95</v>
      </c>
      <c r="G256" s="112"/>
      <c r="H256" s="66">
        <v>8</v>
      </c>
      <c r="I256" s="112"/>
      <c r="J256" s="66">
        <v>4.5</v>
      </c>
      <c r="K256" s="112"/>
      <c r="L256" s="85" t="s">
        <v>189</v>
      </c>
      <c r="M256" s="86"/>
      <c r="N256" s="87"/>
      <c r="O256" s="86">
        <v>303</v>
      </c>
      <c r="P256" s="86"/>
      <c r="Q256" s="87"/>
      <c r="R256" s="86">
        <v>455</v>
      </c>
      <c r="S256" s="86"/>
      <c r="T256" s="87"/>
    </row>
    <row r="257" spans="1:20" ht="17.25" customHeight="1">
      <c r="A257" s="71"/>
      <c r="B257" s="72"/>
      <c r="C257" s="88"/>
      <c r="D257" s="71"/>
      <c r="E257" s="88"/>
      <c r="F257" s="71"/>
      <c r="G257" s="88"/>
      <c r="H257" s="71"/>
      <c r="I257" s="88"/>
      <c r="J257" s="71"/>
      <c r="K257" s="88"/>
      <c r="L257" s="85" t="s">
        <v>190</v>
      </c>
      <c r="M257" s="86"/>
      <c r="N257" s="87"/>
      <c r="O257" s="133">
        <f>AVERAGE(O254:O256)</f>
        <v>304</v>
      </c>
      <c r="P257" s="86"/>
      <c r="Q257" s="87"/>
      <c r="R257" s="133">
        <f>AVERAGE(R254:R256)</f>
        <v>453</v>
      </c>
      <c r="S257" s="86"/>
      <c r="T257" s="87"/>
    </row>
    <row r="258" spans="1:20" ht="17.25" customHeight="1">
      <c r="A258" s="31"/>
      <c r="B258" s="51"/>
      <c r="C258" s="112"/>
      <c r="D258" s="31"/>
      <c r="E258" s="109"/>
      <c r="F258" s="31"/>
      <c r="G258" s="109"/>
      <c r="H258" s="31"/>
      <c r="I258" s="109"/>
      <c r="J258" s="31"/>
      <c r="K258" s="109"/>
      <c r="L258" s="85" t="s">
        <v>185</v>
      </c>
      <c r="M258" s="86"/>
      <c r="N258" s="87"/>
      <c r="O258" s="86">
        <v>301</v>
      </c>
      <c r="P258" s="86"/>
      <c r="Q258" s="87"/>
      <c r="R258" s="86">
        <v>454</v>
      </c>
      <c r="S258" s="86"/>
      <c r="T258" s="87"/>
    </row>
    <row r="259" spans="1:20" ht="17.25" customHeight="1">
      <c r="A259" s="134" t="s">
        <v>192</v>
      </c>
      <c r="B259" s="51"/>
      <c r="C259" s="112"/>
      <c r="D259" s="131"/>
      <c r="E259" s="112"/>
      <c r="F259" s="66"/>
      <c r="G259" s="112"/>
      <c r="H259" s="66"/>
      <c r="I259" s="112"/>
      <c r="J259" s="66"/>
      <c r="K259" s="112"/>
      <c r="L259" s="85" t="s">
        <v>187</v>
      </c>
      <c r="M259" s="86"/>
      <c r="N259" s="87"/>
      <c r="O259" s="86">
        <v>300</v>
      </c>
      <c r="P259" s="86"/>
      <c r="Q259" s="87"/>
      <c r="R259" s="86">
        <v>452</v>
      </c>
      <c r="S259" s="86"/>
      <c r="T259" s="87"/>
    </row>
    <row r="260" spans="1:20" ht="17.25" customHeight="1">
      <c r="A260" s="66" t="s">
        <v>188</v>
      </c>
      <c r="B260" s="51"/>
      <c r="C260" s="112"/>
      <c r="D260" s="132">
        <f>C246</f>
        <v>32.45</v>
      </c>
      <c r="E260" s="112"/>
      <c r="F260" s="132">
        <f>G246</f>
        <v>40.95</v>
      </c>
      <c r="G260" s="112"/>
      <c r="H260" s="66">
        <v>8</v>
      </c>
      <c r="I260" s="112"/>
      <c r="J260" s="66">
        <v>4.5</v>
      </c>
      <c r="K260" s="112"/>
      <c r="L260" s="85" t="s">
        <v>189</v>
      </c>
      <c r="M260" s="86"/>
      <c r="N260" s="87"/>
      <c r="O260" s="86">
        <v>302</v>
      </c>
      <c r="P260" s="86"/>
      <c r="Q260" s="87"/>
      <c r="R260" s="86">
        <v>452</v>
      </c>
      <c r="S260" s="86"/>
      <c r="T260" s="87"/>
    </row>
    <row r="261" spans="1:20" ht="17.25" customHeight="1">
      <c r="A261" s="71"/>
      <c r="B261" s="72"/>
      <c r="C261" s="88"/>
      <c r="D261" s="71"/>
      <c r="E261" s="88"/>
      <c r="F261" s="71"/>
      <c r="G261" s="88"/>
      <c r="H261" s="71"/>
      <c r="I261" s="88"/>
      <c r="J261" s="71"/>
      <c r="K261" s="88"/>
      <c r="L261" s="85" t="s">
        <v>193</v>
      </c>
      <c r="M261" s="86"/>
      <c r="N261" s="87"/>
      <c r="O261" s="133">
        <f>AVERAGE(O258:O260)</f>
        <v>301</v>
      </c>
      <c r="P261" s="86"/>
      <c r="Q261" s="87"/>
      <c r="R261" s="133">
        <f>AVERAGE(R258:R260)</f>
        <v>452.6666666666667</v>
      </c>
      <c r="S261" s="86"/>
      <c r="T261" s="87"/>
    </row>
    <row r="262" spans="1:20" ht="12">
      <c r="A262" s="31"/>
      <c r="B262" s="32"/>
      <c r="C262" s="109"/>
      <c r="D262" s="31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109"/>
    </row>
    <row r="263" spans="1:20" ht="12">
      <c r="A263" s="66"/>
      <c r="B263" s="51"/>
      <c r="C263" s="112"/>
      <c r="D263" s="66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112"/>
    </row>
    <row r="264" spans="1:20" ht="12">
      <c r="A264" s="66" t="s">
        <v>194</v>
      </c>
      <c r="B264" s="51"/>
      <c r="C264" s="112"/>
      <c r="D264" s="13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112"/>
    </row>
    <row r="265" spans="1:20" ht="12">
      <c r="A265" s="71"/>
      <c r="B265" s="72"/>
      <c r="C265" s="88"/>
      <c r="D265" s="71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88"/>
    </row>
    <row r="266" ht="12">
      <c r="D266" s="65"/>
    </row>
  </sheetData>
  <printOptions horizontalCentered="1" verticalCentered="1"/>
  <pageMargins left="0.7480314960629921" right="0.5118110236220472" top="0.9448818897637796" bottom="1.0236220472440944" header="0.5118110236220472" footer="0.5905511811023623"/>
  <pageSetup horizontalDpi="600" verticalDpi="600" orientation="portrait" paperSize="9" scale="87" r:id="rId2"/>
  <headerFooter alignWithMargins="0">
    <oddHeader>&amp;C&amp;A</oddHeader>
    <oddFooter>&amp;C&amp;P 쪽</oddFooter>
  </headerFooter>
  <rowBreaks count="6" manualBreakCount="6">
    <brk id="20" max="20" man="1"/>
    <brk id="62" max="20" man="1"/>
    <brk id="98" max="20" man="1"/>
    <brk id="133" max="20" man="1"/>
    <brk id="175" max="20" man="1"/>
    <brk id="21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2002-06-19T14:27:13Z</cp:lastPrinted>
  <dcterms:created xsi:type="dcterms:W3CDTF">2002-06-19T12:43:57Z</dcterms:created>
  <dcterms:modified xsi:type="dcterms:W3CDTF">2008-07-13T05:32:41Z</dcterms:modified>
  <cp:category/>
  <cp:version/>
  <cp:contentType/>
  <cp:contentStatus/>
</cp:coreProperties>
</file>