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3631" yWindow="705" windowWidth="9240" windowHeight="4545" tabRatio="808" activeTab="0"/>
  </bookViews>
  <sheets>
    <sheet name="목차" sheetId="1" r:id="rId1"/>
    <sheet name="면적-삼각" sheetId="2" r:id="rId2"/>
    <sheet name="면적-사각" sheetId="3" r:id="rId3"/>
    <sheet name="면적-원호" sheetId="4" r:id="rId4"/>
    <sheet name="면적-다각형" sheetId="5" r:id="rId5"/>
    <sheet name="면적-Ellips" sheetId="6" r:id="rId6"/>
    <sheet name="볼륨-육각" sheetId="7" r:id="rId7"/>
    <sheet name="볼륨-구형" sheetId="8" r:id="rId8"/>
    <sheet name="볼륨-Pipe&amp;Cylinder" sheetId="9" r:id="rId9"/>
    <sheet name="볼륨-Reducer" sheetId="10" r:id="rId10"/>
    <sheet name="무게-사각&amp;원" sheetId="11" r:id="rId11"/>
    <sheet name="무게-Cone" sheetId="12" r:id="rId12"/>
    <sheet name="무게-환봉" sheetId="13" r:id="rId13"/>
    <sheet name="유량" sheetId="14" r:id="rId14"/>
    <sheet name="배관지름" sheetId="15" r:id="rId15"/>
    <sheet name="유속" sheetId="16" r:id="rId16"/>
    <sheet name="밀도" sheetId="17" r:id="rId17"/>
    <sheet name="점도" sheetId="18" r:id="rId18"/>
    <sheet name="동점도" sheetId="19" r:id="rId19"/>
    <sheet name="압력용기" sheetId="20" r:id="rId20"/>
    <sheet name="볼트길이-STUD" sheetId="21" r:id="rId21"/>
    <sheet name="볼트길이-HEX" sheetId="22" r:id="rId22"/>
    <sheet name="차압-배관" sheetId="23" r:id="rId23"/>
    <sheet name="차압-압력용기" sheetId="24" r:id="rId24"/>
    <sheet name="정보" sheetId="25" r:id="rId25"/>
    <sheet name="Sheet2" sheetId="26" r:id="rId26"/>
  </sheets>
  <definedNames>
    <definedName name="ED">'차압-배관'!$D$26</definedName>
    <definedName name="EDD">'차압-압력용기'!$D$29</definedName>
    <definedName name="PIPESCH" localSheetId="18">'동점도'!#REF!</definedName>
    <definedName name="PIPESCH" localSheetId="5">'면적-Ellips'!#REF!</definedName>
    <definedName name="PIPESCH" localSheetId="4">'면적-다각형'!#REF!</definedName>
    <definedName name="PIPESCH" localSheetId="2">'면적-사각'!#REF!</definedName>
    <definedName name="PIPESCH" localSheetId="1">'면적-삼각'!#REF!</definedName>
    <definedName name="PIPESCH" localSheetId="3">'면적-원호'!#REF!</definedName>
    <definedName name="PIPESCH" localSheetId="11">'무게-Cone'!#REF!</definedName>
    <definedName name="PIPESCH" localSheetId="10">'무게-사각&amp;원'!#REF!</definedName>
    <definedName name="PIPESCH" localSheetId="12">'무게-환봉'!#REF!</definedName>
    <definedName name="PIPESCH" localSheetId="16">'밀도'!#REF!</definedName>
    <definedName name="PIPESCH" localSheetId="14">'배관지름'!#REF!</definedName>
    <definedName name="PIPESCH" localSheetId="9">'볼륨-Reducer'!#REF!</definedName>
    <definedName name="PIPESCH" localSheetId="7">'볼륨-구형'!#REF!</definedName>
    <definedName name="PIPESCH" localSheetId="6">'볼륨-육각'!#REF!</definedName>
    <definedName name="PIPESCH" localSheetId="21">'볼트길이-HEX'!#REF!</definedName>
    <definedName name="PIPESCH" localSheetId="20">'볼트길이-STUD'!#REF!</definedName>
    <definedName name="PIPESCH" localSheetId="19">'압력용기'!#REF!</definedName>
    <definedName name="PIPESCH" localSheetId="13">'유량'!#REF!</definedName>
    <definedName name="PIPESCH" localSheetId="15">'유속'!#REF!</definedName>
    <definedName name="PIPESCH" localSheetId="17">'점도'!#REF!</definedName>
    <definedName name="PIPESIZE" localSheetId="18">'동점도'!#REF!</definedName>
    <definedName name="PIPESIZE" localSheetId="5">'면적-Ellips'!#REF!</definedName>
    <definedName name="PIPESIZE" localSheetId="4">'면적-다각형'!#REF!</definedName>
    <definedName name="PIPESIZE" localSheetId="2">'면적-사각'!#REF!</definedName>
    <definedName name="PIPESIZE" localSheetId="1">'면적-삼각'!#REF!</definedName>
    <definedName name="PIPESIZE" localSheetId="3">'면적-원호'!#REF!</definedName>
    <definedName name="PIPESIZE" localSheetId="11">'무게-Cone'!#REF!</definedName>
    <definedName name="PIPESIZE" localSheetId="10">'무게-사각&amp;원'!#REF!</definedName>
    <definedName name="PIPESIZE" localSheetId="12">'무게-환봉'!#REF!</definedName>
    <definedName name="PIPESIZE" localSheetId="16">'밀도'!#REF!</definedName>
    <definedName name="PIPESIZE" localSheetId="14">'배관지름'!#REF!</definedName>
    <definedName name="PIPESIZE" localSheetId="8">'볼륨-Pipe&amp;Cylinder'!#REF!</definedName>
    <definedName name="PIPESIZE" localSheetId="9">'볼륨-Reducer'!#REF!</definedName>
    <definedName name="PIPESIZE" localSheetId="7">'볼륨-구형'!#REF!</definedName>
    <definedName name="PIPESIZE" localSheetId="6">'볼륨-육각'!#REF!</definedName>
    <definedName name="PIPESIZE" localSheetId="21">'볼트길이-HEX'!#REF!</definedName>
    <definedName name="PIPESIZE" localSheetId="20">'볼트길이-STUD'!#REF!</definedName>
    <definedName name="PIPESIZE" localSheetId="19">'압력용기'!#REF!</definedName>
    <definedName name="PIPESIZE" localSheetId="13">'유량'!#REF!</definedName>
    <definedName name="PIPESIZE" localSheetId="15">'유속'!#REF!</definedName>
    <definedName name="PIPESIZE" localSheetId="17">'점도'!#REF!</definedName>
    <definedName name="PPIPE">#REF!</definedName>
    <definedName name="_xlnm.Print_Area" localSheetId="0">'목차'!$A$1:$H$31</definedName>
    <definedName name="PVESSEL">#REF!</definedName>
    <definedName name="RE">'차압-배관'!$D$25</definedName>
    <definedName name="RE1">'차압-압력용기'!$D$28</definedName>
    <definedName name="마찰계수">'Sheet2'!$AK$75</definedName>
    <definedName name="마찰계수1">'Sheet2'!$AK$152</definedName>
  </definedNames>
  <calcPr fullCalcOnLoad="1"/>
</workbook>
</file>

<file path=xl/sharedStrings.xml><?xml version="1.0" encoding="utf-8"?>
<sst xmlns="http://schemas.openxmlformats.org/spreadsheetml/2006/main" count="1383" uniqueCount="641">
  <si>
    <r>
      <t>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</si>
  <si>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>(ex. 1.23E-06 = 1.23 * 10</t>
    </r>
    <r>
      <rPr>
        <vertAlign val="superscript"/>
        <sz val="11"/>
        <rFont val="바탕체"/>
        <family val="1"/>
      </rPr>
      <t>-6</t>
    </r>
    <r>
      <rPr>
        <sz val="11"/>
        <rFont val="바탕체"/>
        <family val="1"/>
      </rPr>
      <t>)</t>
    </r>
  </si>
  <si>
    <t>St</t>
  </si>
  <si>
    <r>
      <t>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/h</t>
    </r>
  </si>
  <si>
    <r>
      <t>ft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</si>
  <si>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>in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</si>
  <si>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 xml:space="preserve">b. </t>
    </r>
    <r>
      <rPr>
        <u val="single"/>
        <sz val="11"/>
        <rFont val="바탕체"/>
        <family val="1"/>
      </rPr>
      <t>Density (</t>
    </r>
    <r>
      <rPr>
        <u val="single"/>
        <sz val="11"/>
        <rFont val="굴림"/>
        <family val="3"/>
      </rPr>
      <t>ρ</t>
    </r>
    <r>
      <rPr>
        <u val="single"/>
        <sz val="11"/>
        <rFont val="바탕체"/>
        <family val="1"/>
      </rPr>
      <t>)</t>
    </r>
  </si>
  <si>
    <r>
      <t>Pa</t>
    </r>
    <r>
      <rPr>
        <sz val="11"/>
        <rFont val="바탕"/>
        <family val="1"/>
      </rPr>
      <t>·</t>
    </r>
    <r>
      <rPr>
        <sz val="11"/>
        <rFont val="바탕체"/>
        <family val="1"/>
      </rPr>
      <t>S</t>
    </r>
  </si>
  <si>
    <r>
      <t>g/cm</t>
    </r>
    <r>
      <rPr>
        <vertAlign val="superscript"/>
        <sz val="11"/>
        <rFont val="바탕체"/>
        <family val="1"/>
      </rPr>
      <t>3</t>
    </r>
  </si>
  <si>
    <r>
      <t>kg/m</t>
    </r>
    <r>
      <rPr>
        <sz val="11"/>
        <rFont val="바탕"/>
        <family val="1"/>
      </rPr>
      <t>·</t>
    </r>
    <r>
      <rPr>
        <sz val="11"/>
        <rFont val="바탕체"/>
        <family val="1"/>
      </rPr>
      <t>S</t>
    </r>
  </si>
  <si>
    <r>
      <t>g/m</t>
    </r>
    <r>
      <rPr>
        <vertAlign val="superscript"/>
        <sz val="11"/>
        <rFont val="바탕체"/>
        <family val="1"/>
      </rPr>
      <t>3</t>
    </r>
  </si>
  <si>
    <r>
      <t>lb/ft</t>
    </r>
    <r>
      <rPr>
        <vertAlign val="superscript"/>
        <sz val="11"/>
        <rFont val="바탕체"/>
        <family val="1"/>
      </rPr>
      <t>3</t>
    </r>
  </si>
  <si>
    <r>
      <t>kgf</t>
    </r>
    <r>
      <rPr>
        <sz val="11"/>
        <rFont val="바탕"/>
        <family val="1"/>
      </rPr>
      <t>·</t>
    </r>
    <r>
      <rPr>
        <sz val="11"/>
        <rFont val="바탕체"/>
        <family val="1"/>
      </rPr>
      <t>S/m</t>
    </r>
    <r>
      <rPr>
        <vertAlign val="superscript"/>
        <sz val="11"/>
        <rFont val="바탕체"/>
        <family val="1"/>
      </rPr>
      <t>2</t>
    </r>
  </si>
  <si>
    <r>
      <t>lb/in</t>
    </r>
    <r>
      <rPr>
        <vertAlign val="superscript"/>
        <sz val="11"/>
        <rFont val="바탕체"/>
        <family val="1"/>
      </rPr>
      <t>3</t>
    </r>
  </si>
  <si>
    <t>L   = Length</t>
  </si>
  <si>
    <r>
      <t>W = π/4 * L * D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*Sg</t>
    </r>
  </si>
  <si>
    <r>
      <t>W = π/4 * d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* t * Sg</t>
    </r>
  </si>
  <si>
    <r>
      <t>D</t>
    </r>
    <r>
      <rPr>
        <vertAlign val="subscript"/>
        <sz val="11"/>
        <rFont val="바탕체"/>
        <family val="1"/>
      </rPr>
      <t>1</t>
    </r>
  </si>
  <si>
    <r>
      <t>D</t>
    </r>
    <r>
      <rPr>
        <vertAlign val="subscript"/>
        <sz val="11"/>
        <rFont val="바탕체"/>
        <family val="1"/>
      </rPr>
      <t>2</t>
    </r>
  </si>
  <si>
    <r>
      <t>W = π/6 * d</t>
    </r>
    <r>
      <rPr>
        <b/>
        <vertAlign val="superscript"/>
        <sz val="11"/>
        <color indexed="12"/>
        <rFont val="바탕"/>
        <family val="1"/>
      </rPr>
      <t>3</t>
    </r>
    <r>
      <rPr>
        <b/>
        <sz val="11"/>
        <color indexed="12"/>
        <rFont val="바탕"/>
        <family val="1"/>
      </rPr>
      <t xml:space="preserve"> * Sg</t>
    </r>
  </si>
  <si>
    <r>
      <t xml:space="preserve">* </t>
    </r>
    <r>
      <rPr>
        <u val="single"/>
        <sz val="11"/>
        <rFont val="바탕체"/>
        <family val="1"/>
      </rPr>
      <t>ACTUAL CALCULATION</t>
    </r>
  </si>
  <si>
    <t xml:space="preserve">  Length</t>
  </si>
  <si>
    <t>L</t>
  </si>
  <si>
    <t>=</t>
  </si>
  <si>
    <t>mm</t>
  </si>
  <si>
    <t xml:space="preserve">  Width</t>
  </si>
  <si>
    <t>w</t>
  </si>
  <si>
    <t xml:space="preserve">  Thickness</t>
  </si>
  <si>
    <t>t</t>
  </si>
  <si>
    <t xml:space="preserve">  Specific Gravity</t>
  </si>
  <si>
    <t>Sg</t>
  </si>
  <si>
    <t>W</t>
  </si>
  <si>
    <t>kg</t>
  </si>
  <si>
    <t>lb</t>
  </si>
  <si>
    <t>W  = Weight</t>
  </si>
  <si>
    <t>t   = Thickness</t>
  </si>
  <si>
    <t>D  = Outside Dia.</t>
  </si>
  <si>
    <t>Sg = Specific Gravity</t>
  </si>
  <si>
    <t>L  = Length</t>
  </si>
  <si>
    <t>W = π * t * (D - t) * Sg * L</t>
  </si>
  <si>
    <t xml:space="preserve">  Outside Dia.</t>
  </si>
  <si>
    <t>D</t>
  </si>
  <si>
    <t>D1</t>
  </si>
  <si>
    <t>d1</t>
  </si>
  <si>
    <t>D2</t>
  </si>
  <si>
    <t>d2</t>
  </si>
  <si>
    <r>
      <t>C = √ (D / 2)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+ L</t>
    </r>
    <r>
      <rPr>
        <b/>
        <vertAlign val="superscript"/>
        <sz val="11"/>
        <color indexed="12"/>
        <rFont val="바탕"/>
        <family val="1"/>
      </rPr>
      <t>2</t>
    </r>
  </si>
  <si>
    <t xml:space="preserve">  Outside Dia.</t>
  </si>
  <si>
    <t>D</t>
  </si>
  <si>
    <t>mm</t>
  </si>
  <si>
    <t xml:space="preserve">  Used Thickness</t>
  </si>
  <si>
    <t>t</t>
  </si>
  <si>
    <t xml:space="preserve">  Inside Dia.</t>
  </si>
  <si>
    <t>d</t>
  </si>
  <si>
    <t xml:space="preserve">  Length</t>
  </si>
  <si>
    <t>L</t>
  </si>
  <si>
    <t xml:space="preserve">  V</t>
  </si>
  <si>
    <r>
      <t>m</t>
    </r>
    <r>
      <rPr>
        <vertAlign val="superscript"/>
        <sz val="11"/>
        <rFont val="바탕체"/>
        <family val="1"/>
      </rPr>
      <t>3</t>
    </r>
  </si>
  <si>
    <t xml:space="preserve">  S</t>
  </si>
  <si>
    <r>
      <t>m</t>
    </r>
    <r>
      <rPr>
        <vertAlign val="superscript"/>
        <sz val="11"/>
        <rFont val="바탕체"/>
        <family val="1"/>
      </rPr>
      <t>2</t>
    </r>
  </si>
  <si>
    <t>V = Volume</t>
  </si>
  <si>
    <t>S = Surface Area</t>
  </si>
  <si>
    <r>
      <t>V  =  19.739 * R * d</t>
    </r>
    <r>
      <rPr>
        <b/>
        <vertAlign val="superscript"/>
        <sz val="11"/>
        <color indexed="12"/>
        <rFont val="바탕"/>
        <family val="1"/>
      </rPr>
      <t xml:space="preserve">2 </t>
    </r>
    <r>
      <rPr>
        <b/>
        <sz val="11"/>
        <color indexed="12"/>
        <rFont val="바탕"/>
        <family val="1"/>
      </rPr>
      <t xml:space="preserve">/ 16  </t>
    </r>
  </si>
  <si>
    <t>S  =  39.478 * R * D / 8</t>
  </si>
  <si>
    <t>R</t>
  </si>
  <si>
    <r>
      <t>kgf/cm</t>
    </r>
    <r>
      <rPr>
        <vertAlign val="superscript"/>
        <sz val="11"/>
        <rFont val="바탕체"/>
        <family val="1"/>
      </rPr>
      <t>2</t>
    </r>
  </si>
  <si>
    <t>m/sec</t>
  </si>
  <si>
    <t>AREA CALCULATION</t>
  </si>
  <si>
    <t>PRESSURE LOSSES CALCULATION</t>
  </si>
  <si>
    <t>ΔP = Pressure Loss</t>
  </si>
  <si>
    <t>f   = Friction Cofficient</t>
  </si>
  <si>
    <r>
      <t>ρ</t>
    </r>
    <r>
      <rPr>
        <sz val="11"/>
        <rFont val="바탕"/>
        <family val="1"/>
      </rPr>
      <t xml:space="preserve">  = Density</t>
    </r>
  </si>
  <si>
    <t>V  = Velocity</t>
  </si>
  <si>
    <t>g  = Gravity Velocity</t>
  </si>
  <si>
    <r>
      <t>μ</t>
    </r>
    <r>
      <rPr>
        <sz val="11"/>
        <rFont val="바탕"/>
        <family val="1"/>
      </rPr>
      <t xml:space="preserve">  =  Viscosity</t>
    </r>
  </si>
  <si>
    <r>
      <t xml:space="preserve">R  =  V * d * </t>
    </r>
    <r>
      <rPr>
        <b/>
        <sz val="11"/>
        <color indexed="12"/>
        <rFont val="굴림"/>
        <family val="3"/>
      </rPr>
      <t>ρ</t>
    </r>
    <r>
      <rPr>
        <b/>
        <sz val="11"/>
        <color indexed="12"/>
        <rFont val="바탕"/>
        <family val="1"/>
      </rPr>
      <t xml:space="preserve"> / </t>
    </r>
    <r>
      <rPr>
        <b/>
        <sz val="11"/>
        <color indexed="12"/>
        <rFont val="굴림"/>
        <family val="3"/>
      </rPr>
      <t>μ</t>
    </r>
  </si>
  <si>
    <t xml:space="preserve">  Flow Rate</t>
  </si>
  <si>
    <t>Q</t>
  </si>
  <si>
    <r>
      <t>m</t>
    </r>
    <r>
      <rPr>
        <vertAlign val="superscript"/>
        <sz val="11"/>
        <rFont val="바탕체"/>
        <family val="1"/>
      </rPr>
      <t>3</t>
    </r>
    <r>
      <rPr>
        <sz val="11"/>
        <rFont val="바탕체"/>
        <family val="1"/>
      </rPr>
      <t>/h</t>
    </r>
  </si>
  <si>
    <t xml:space="preserve">  Density</t>
  </si>
  <si>
    <t>ρ</t>
  </si>
  <si>
    <r>
      <t>kg/m</t>
    </r>
    <r>
      <rPr>
        <vertAlign val="superscript"/>
        <sz val="11"/>
        <rFont val="바탕체"/>
        <family val="1"/>
      </rPr>
      <t>3</t>
    </r>
  </si>
  <si>
    <t xml:space="preserve">  Viscosity</t>
  </si>
  <si>
    <t>μ</t>
  </si>
  <si>
    <t>CP</t>
  </si>
  <si>
    <t>V</t>
  </si>
  <si>
    <t>R</t>
  </si>
  <si>
    <r>
      <t>ε</t>
    </r>
    <r>
      <rPr>
        <sz val="11"/>
        <rFont val="바탕체"/>
        <family val="1"/>
      </rPr>
      <t>/d</t>
    </r>
  </si>
  <si>
    <t>f</t>
  </si>
  <si>
    <t>ΔP</t>
  </si>
  <si>
    <r>
      <t>kgf/cm</t>
    </r>
    <r>
      <rPr>
        <vertAlign val="superscript"/>
        <sz val="11"/>
        <rFont val="바탕체"/>
        <family val="1"/>
      </rPr>
      <t>2</t>
    </r>
  </si>
  <si>
    <t xml:space="preserve">  Inside Dia. for Nozzle</t>
  </si>
  <si>
    <t xml:space="preserve">  Length for face to face</t>
  </si>
  <si>
    <t xml:space="preserve">  Inside Dia. for Vessel</t>
  </si>
  <si>
    <r>
      <t xml:space="preserve">                      + (ρ * K * V</t>
    </r>
    <r>
      <rPr>
        <b/>
        <vertAlign val="superscript"/>
        <sz val="11"/>
        <color indexed="12"/>
        <rFont val="바탕"/>
        <family val="1"/>
      </rPr>
      <t xml:space="preserve">2 </t>
    </r>
    <r>
      <rPr>
        <b/>
        <sz val="11"/>
        <color indexed="12"/>
        <rFont val="바탕"/>
        <family val="1"/>
      </rPr>
      <t>/ 2 g)</t>
    </r>
  </si>
  <si>
    <r>
      <t>Ln</t>
    </r>
    <r>
      <rPr>
        <sz val="11"/>
        <rFont val="바탕"/>
        <family val="1"/>
      </rPr>
      <t xml:space="preserve"> = Length for Nozzle</t>
    </r>
  </si>
  <si>
    <r>
      <t>ΔP = (f * Ln</t>
    </r>
    <r>
      <rPr>
        <b/>
        <sz val="11"/>
        <color indexed="12"/>
        <rFont val="바탕"/>
        <family val="1"/>
      </rPr>
      <t xml:space="preserve">/d * </t>
    </r>
    <r>
      <rPr>
        <b/>
        <sz val="11"/>
        <color indexed="12"/>
        <rFont val="굴림"/>
        <family val="3"/>
      </rPr>
      <t>ρ</t>
    </r>
    <r>
      <rPr>
        <b/>
        <sz val="11"/>
        <color indexed="12"/>
        <rFont val="바탕"/>
        <family val="1"/>
      </rPr>
      <t xml:space="preserve"> * V</t>
    </r>
    <r>
      <rPr>
        <b/>
        <vertAlign val="superscript"/>
        <sz val="11"/>
        <color indexed="12"/>
        <rFont val="바탕"/>
        <family val="1"/>
      </rPr>
      <t xml:space="preserve">2 </t>
    </r>
    <r>
      <rPr>
        <b/>
        <sz val="11"/>
        <color indexed="12"/>
        <rFont val="바탕"/>
        <family val="1"/>
      </rPr>
      <t xml:space="preserve">/ 2 g) </t>
    </r>
  </si>
  <si>
    <r>
      <t xml:space="preserve">  a. </t>
    </r>
    <r>
      <rPr>
        <u val="single"/>
        <sz val="11"/>
        <rFont val="바탕체"/>
        <family val="1"/>
      </rPr>
      <t>Density (</t>
    </r>
    <r>
      <rPr>
        <u val="single"/>
        <sz val="11"/>
        <rFont val="굴림"/>
        <family val="3"/>
      </rPr>
      <t>ρ</t>
    </r>
    <r>
      <rPr>
        <u val="single"/>
        <sz val="11"/>
        <rFont val="바탕체"/>
        <family val="1"/>
      </rPr>
      <t>)</t>
    </r>
  </si>
  <si>
    <r>
      <t xml:space="preserve"> b. </t>
    </r>
    <r>
      <rPr>
        <u val="single"/>
        <sz val="11"/>
        <rFont val="바탕체"/>
        <family val="1"/>
      </rPr>
      <t>Viscosity (</t>
    </r>
    <r>
      <rPr>
        <u val="single"/>
        <sz val="11"/>
        <rFont val="굴림"/>
        <family val="3"/>
      </rPr>
      <t>μ</t>
    </r>
    <r>
      <rPr>
        <u val="single"/>
        <sz val="11"/>
        <rFont val="바탕체"/>
        <family val="1"/>
      </rPr>
      <t>)</t>
    </r>
  </si>
  <si>
    <r>
      <t xml:space="preserve">  c. </t>
    </r>
    <r>
      <rPr>
        <u val="single"/>
        <sz val="11"/>
        <rFont val="바탕체"/>
        <family val="1"/>
      </rPr>
      <t>Flow Rate (Q</t>
    </r>
    <r>
      <rPr>
        <u val="single"/>
        <sz val="11"/>
        <rFont val="바탕체"/>
        <family val="1"/>
      </rPr>
      <t>)</t>
    </r>
  </si>
  <si>
    <r>
      <t xml:space="preserve"> d. </t>
    </r>
    <r>
      <rPr>
        <u val="single"/>
        <sz val="11"/>
        <rFont val="바탕체"/>
        <family val="1"/>
      </rPr>
      <t>Velocity (V</t>
    </r>
    <r>
      <rPr>
        <u val="single"/>
        <sz val="11"/>
        <rFont val="바탕체"/>
        <family val="1"/>
      </rPr>
      <t>)</t>
    </r>
  </si>
  <si>
    <r>
      <t xml:space="preserve"> </t>
    </r>
    <r>
      <rPr>
        <b/>
        <sz val="13"/>
        <rFont val="바탕"/>
        <family val="1"/>
      </rPr>
      <t>Ⅴ</t>
    </r>
    <r>
      <rPr>
        <b/>
        <sz val="13"/>
        <rFont val="굴림"/>
        <family val="3"/>
      </rPr>
      <t>. 기타 계산</t>
    </r>
  </si>
  <si>
    <r>
      <t xml:space="preserve"> </t>
    </r>
    <r>
      <rPr>
        <b/>
        <sz val="13"/>
        <rFont val="바탕"/>
        <family val="1"/>
      </rPr>
      <t>Ⅳ</t>
    </r>
    <r>
      <rPr>
        <b/>
        <sz val="13"/>
        <rFont val="굴림"/>
        <family val="3"/>
      </rPr>
      <t>. 압력용기 계산</t>
    </r>
  </si>
  <si>
    <t>3. PRESSURE LOSS (압력손실)</t>
  </si>
  <si>
    <t>7. STUD BOLT LENGTH (고장력 볼트 길이)</t>
  </si>
  <si>
    <t>8. HEX BOLT LENGTH (육각볼트 길이)</t>
  </si>
  <si>
    <t>5. VISCOSITY (점도)</t>
  </si>
  <si>
    <t>6. KINEMATIC VISCOSITY (동점도)</t>
  </si>
  <si>
    <t>4. DENSITY (밀도)</t>
  </si>
  <si>
    <t>각종 계산프로그램 (목차)</t>
  </si>
  <si>
    <t>2. VOLUME (체적)</t>
  </si>
  <si>
    <r>
      <t xml:space="preserve"> </t>
    </r>
    <r>
      <rPr>
        <b/>
        <sz val="13"/>
        <rFont val="바탕"/>
        <family val="1"/>
      </rPr>
      <t>Ⅰ</t>
    </r>
    <r>
      <rPr>
        <b/>
        <sz val="13"/>
        <rFont val="굴림"/>
        <family val="3"/>
      </rPr>
      <t>. 도형의 면적 계산</t>
    </r>
  </si>
  <si>
    <r>
      <t xml:space="preserve"> </t>
    </r>
    <r>
      <rPr>
        <b/>
        <sz val="13"/>
        <rFont val="바탕"/>
        <family val="1"/>
      </rPr>
      <t>Ⅲ</t>
    </r>
    <r>
      <rPr>
        <b/>
        <sz val="13"/>
        <rFont val="굴림"/>
        <family val="3"/>
      </rPr>
      <t>. WEIGHT (무게) 계산</t>
    </r>
  </si>
  <si>
    <r>
      <t>Ⅱ</t>
    </r>
    <r>
      <rPr>
        <b/>
        <sz val="13"/>
        <rFont val="굴림"/>
        <family val="3"/>
      </rPr>
      <t>. VOLUME (체적) &amp; SURFACE (표면적) 계산</t>
    </r>
  </si>
  <si>
    <t>9. PRESSURE LOSS for PIPE (배관 압력손실)</t>
  </si>
  <si>
    <t>3. CONE (REDUCER)</t>
  </si>
  <si>
    <t>■ PRESSURE VESSEL</t>
  </si>
  <si>
    <t>mm</t>
  </si>
  <si>
    <t>=</t>
  </si>
  <si>
    <t>mm</t>
  </si>
  <si>
    <t>=</t>
  </si>
  <si>
    <r>
      <t>m</t>
    </r>
    <r>
      <rPr>
        <vertAlign val="superscript"/>
        <sz val="10"/>
        <rFont val="바탕체"/>
        <family val="1"/>
      </rPr>
      <t>3</t>
    </r>
    <r>
      <rPr>
        <sz val="10"/>
        <rFont val="바탕체"/>
        <family val="1"/>
      </rPr>
      <t>/h</t>
    </r>
  </si>
  <si>
    <r>
      <t>ft</t>
    </r>
    <r>
      <rPr>
        <vertAlign val="superscript"/>
        <sz val="10"/>
        <rFont val="바탕체"/>
        <family val="1"/>
      </rPr>
      <t>3</t>
    </r>
    <r>
      <rPr>
        <sz val="10"/>
        <rFont val="바탕체"/>
        <family val="1"/>
      </rPr>
      <t>/h</t>
    </r>
  </si>
  <si>
    <t>V = Volume</t>
  </si>
  <si>
    <t>S = Surface Area</t>
  </si>
  <si>
    <t>S =  π * D * L</t>
  </si>
  <si>
    <t>■ PIPE &amp; CYLINDER</t>
  </si>
  <si>
    <t>D</t>
  </si>
  <si>
    <t>t</t>
  </si>
  <si>
    <t>d</t>
  </si>
  <si>
    <t>L</t>
  </si>
  <si>
    <r>
      <t>m</t>
    </r>
    <r>
      <rPr>
        <vertAlign val="superscript"/>
        <sz val="11"/>
        <rFont val="바탕체"/>
        <family val="1"/>
      </rPr>
      <t>3</t>
    </r>
  </si>
  <si>
    <r>
      <t>m</t>
    </r>
    <r>
      <rPr>
        <vertAlign val="superscript"/>
        <sz val="11"/>
        <rFont val="바탕체"/>
        <family val="1"/>
      </rPr>
      <t>2</t>
    </r>
  </si>
  <si>
    <t xml:space="preserve">  Inside Dia.</t>
  </si>
  <si>
    <t xml:space="preserve">  Length</t>
  </si>
  <si>
    <t>VOLUME &amp; SURFACE AREA CALCULATION</t>
  </si>
  <si>
    <t xml:space="preserve">  Outside Dia.</t>
  </si>
  <si>
    <t xml:space="preserve">  Inside Dia.</t>
  </si>
  <si>
    <t xml:space="preserve">  Length</t>
  </si>
  <si>
    <t xml:space="preserve">  V</t>
  </si>
  <si>
    <t xml:space="preserve">  S</t>
  </si>
  <si>
    <t>R</t>
  </si>
  <si>
    <t>■ ELBOW</t>
  </si>
  <si>
    <t>VOLUME &amp; SURFACE AREA CALCULATION</t>
  </si>
  <si>
    <r>
      <t xml:space="preserve">* </t>
    </r>
    <r>
      <rPr>
        <u val="single"/>
        <sz val="11"/>
        <rFont val="바탕체"/>
        <family val="1"/>
      </rPr>
      <t>ACTUAL CALCULATION</t>
    </r>
  </si>
  <si>
    <t>■ CONCENTRIC REDUCER</t>
  </si>
  <si>
    <t>■ CONE</t>
  </si>
  <si>
    <t>----------------------------------------------------------------------------------------</t>
  </si>
  <si>
    <t>VOLUME &amp; SURFACE AREA CALCULATION</t>
  </si>
  <si>
    <t>V = Volume</t>
  </si>
  <si>
    <t>S = Surface Area</t>
  </si>
  <si>
    <r>
      <t xml:space="preserve">* </t>
    </r>
    <r>
      <rPr>
        <u val="single"/>
        <sz val="11"/>
        <rFont val="바탕체"/>
        <family val="1"/>
      </rPr>
      <t>ACTUAL CALCULATION</t>
    </r>
  </si>
  <si>
    <t xml:space="preserve">  Outside Dia.</t>
  </si>
  <si>
    <t>=</t>
  </si>
  <si>
    <t>mm</t>
  </si>
  <si>
    <t xml:space="preserve">  V</t>
  </si>
  <si>
    <r>
      <t>m</t>
    </r>
    <r>
      <rPr>
        <vertAlign val="superscript"/>
        <sz val="11"/>
        <rFont val="바탕체"/>
        <family val="1"/>
      </rPr>
      <t>3</t>
    </r>
  </si>
  <si>
    <t xml:space="preserve">  S</t>
  </si>
  <si>
    <r>
      <t>m</t>
    </r>
    <r>
      <rPr>
        <vertAlign val="superscript"/>
        <sz val="11"/>
        <rFont val="바탕체"/>
        <family val="1"/>
      </rPr>
      <t>2</t>
    </r>
  </si>
  <si>
    <t>----------------------------------------------------------------------------------------</t>
  </si>
  <si>
    <t>A</t>
  </si>
  <si>
    <t>B</t>
  </si>
  <si>
    <t>C</t>
  </si>
  <si>
    <t>■ CUBE</t>
  </si>
  <si>
    <t>■ SQUARE PRISM</t>
  </si>
  <si>
    <t>V =  A * B * C</t>
  </si>
  <si>
    <t>S =  2 * (A*B + B*C + A*C)</t>
  </si>
  <si>
    <t>D</t>
  </si>
  <si>
    <t>H</t>
  </si>
  <si>
    <t>C1</t>
  </si>
  <si>
    <t>C2</t>
  </si>
  <si>
    <t xml:space="preserve">  Height</t>
  </si>
  <si>
    <t xml:space="preserve">  Width</t>
  </si>
  <si>
    <t xml:space="preserve">  Heigh for Zone</t>
  </si>
  <si>
    <t xml:space="preserve">  Length 1</t>
  </si>
  <si>
    <t xml:space="preserve">  Length 2</t>
  </si>
  <si>
    <r>
      <t xml:space="preserve">* </t>
    </r>
    <r>
      <rPr>
        <u val="single"/>
        <sz val="11"/>
        <rFont val="바탕체"/>
        <family val="1"/>
      </rPr>
      <t>ACTUAL CALCULATION</t>
    </r>
  </si>
  <si>
    <t>=</t>
  </si>
  <si>
    <t>mm</t>
  </si>
  <si>
    <t>----------------------------------------------------------------------------------------</t>
  </si>
  <si>
    <t>A = Area</t>
  </si>
  <si>
    <t xml:space="preserve">  A</t>
  </si>
  <si>
    <t xml:space="preserve">  C</t>
  </si>
  <si>
    <t>C = 1.4142 * a</t>
  </si>
  <si>
    <t>H = 0.7071 * a</t>
  </si>
  <si>
    <t>a = 1.4142 * H</t>
  </si>
  <si>
    <t>a</t>
  </si>
  <si>
    <t xml:space="preserve">  H</t>
  </si>
  <si>
    <t>■ RIGHT TRIANGLE WITH 2 45˚ ANGLES</t>
  </si>
  <si>
    <t>A = a * H / 2</t>
  </si>
  <si>
    <t>H = 0.866 * a</t>
  </si>
  <si>
    <t xml:space="preserve">  Heigh</t>
  </si>
  <si>
    <t>H</t>
  </si>
  <si>
    <r>
      <t>mm</t>
    </r>
    <r>
      <rPr>
        <vertAlign val="superscript"/>
        <sz val="11"/>
        <rFont val="바탕체"/>
        <family val="1"/>
      </rPr>
      <t>2</t>
    </r>
  </si>
  <si>
    <r>
      <t>cm</t>
    </r>
    <r>
      <rPr>
        <vertAlign val="superscript"/>
        <sz val="11"/>
        <rFont val="바탕체"/>
        <family val="1"/>
      </rPr>
      <t>2</t>
    </r>
  </si>
  <si>
    <r>
      <t>m</t>
    </r>
    <r>
      <rPr>
        <vertAlign val="superscript"/>
        <sz val="11"/>
        <rFont val="바탕체"/>
        <family val="1"/>
      </rPr>
      <t>2</t>
    </r>
  </si>
  <si>
    <t>C = 1.155 * H</t>
  </si>
  <si>
    <t>■ EQUILATERAL TRIANGLE</t>
  </si>
  <si>
    <t>A = Area</t>
  </si>
  <si>
    <r>
      <t xml:space="preserve">* </t>
    </r>
    <r>
      <rPr>
        <u val="single"/>
        <sz val="11"/>
        <rFont val="바탕체"/>
        <family val="1"/>
      </rPr>
      <t>ACTUAL CALCULATION</t>
    </r>
  </si>
  <si>
    <t>a</t>
  </si>
  <si>
    <t>=</t>
  </si>
  <si>
    <t>mm</t>
  </si>
  <si>
    <t xml:space="preserve">  A</t>
  </si>
  <si>
    <r>
      <t>m</t>
    </r>
    <r>
      <rPr>
        <vertAlign val="superscript"/>
        <sz val="11"/>
        <rFont val="바탕체"/>
        <family val="1"/>
      </rPr>
      <t>2</t>
    </r>
  </si>
  <si>
    <r>
      <t>mm</t>
    </r>
    <r>
      <rPr>
        <vertAlign val="superscript"/>
        <sz val="11"/>
        <rFont val="바탕체"/>
        <family val="1"/>
      </rPr>
      <t>2</t>
    </r>
  </si>
  <si>
    <t>----------------------------------------------------------------------------------------</t>
  </si>
  <si>
    <t>A = (a + b) * H /2</t>
  </si>
  <si>
    <t xml:space="preserve">  Length for Bottom</t>
  </si>
  <si>
    <t xml:space="preserve">  Length for Upper</t>
  </si>
  <si>
    <t>b</t>
  </si>
  <si>
    <t xml:space="preserve">  Height</t>
  </si>
  <si>
    <t>■ TRAPEZOID</t>
  </si>
  <si>
    <t>C = Circumference</t>
  </si>
  <si>
    <t xml:space="preserve">  Diameter</t>
  </si>
  <si>
    <t>d</t>
  </si>
  <si>
    <r>
      <t>cm</t>
    </r>
    <r>
      <rPr>
        <vertAlign val="superscript"/>
        <sz val="11"/>
        <rFont val="바탕체"/>
        <family val="1"/>
      </rPr>
      <t>2</t>
    </r>
  </si>
  <si>
    <r>
      <t>mm</t>
    </r>
    <r>
      <rPr>
        <vertAlign val="superscript"/>
        <sz val="11"/>
        <rFont val="바탕체"/>
        <family val="1"/>
      </rPr>
      <t>2</t>
    </r>
  </si>
  <si>
    <t xml:space="preserve">  C</t>
  </si>
  <si>
    <t>■ SPHERE</t>
  </si>
  <si>
    <t>■ CIRCLE</t>
  </si>
  <si>
    <t>A = Area</t>
  </si>
  <si>
    <r>
      <t xml:space="preserve">* </t>
    </r>
    <r>
      <rPr>
        <u val="single"/>
        <sz val="11"/>
        <rFont val="바탕체"/>
        <family val="1"/>
      </rPr>
      <t>ACTUAL CALCULATION</t>
    </r>
  </si>
  <si>
    <t>=</t>
  </si>
  <si>
    <t>mm</t>
  </si>
  <si>
    <t xml:space="preserve">  A</t>
  </si>
  <si>
    <r>
      <t>m</t>
    </r>
    <r>
      <rPr>
        <vertAlign val="superscript"/>
        <sz val="11"/>
        <rFont val="바탕체"/>
        <family val="1"/>
      </rPr>
      <t>2</t>
    </r>
  </si>
  <si>
    <r>
      <t>cm</t>
    </r>
    <r>
      <rPr>
        <vertAlign val="superscript"/>
        <sz val="11"/>
        <rFont val="바탕체"/>
        <family val="1"/>
      </rPr>
      <t>2</t>
    </r>
  </si>
  <si>
    <r>
      <t>mm</t>
    </r>
    <r>
      <rPr>
        <vertAlign val="superscript"/>
        <sz val="11"/>
        <rFont val="바탕체"/>
        <family val="1"/>
      </rPr>
      <t>2</t>
    </r>
  </si>
  <si>
    <t>----------------------------------------------------------------------------------------</t>
  </si>
  <si>
    <t>Θ</t>
  </si>
  <si>
    <t>■ CIRCULAR SECTOR</t>
  </si>
  <si>
    <t>■ CIRCULAR SEGMENT</t>
  </si>
  <si>
    <t>L = Arc</t>
  </si>
  <si>
    <t>R = Radius</t>
  </si>
  <si>
    <t xml:space="preserve">  Radius</t>
  </si>
  <si>
    <t xml:space="preserve">  Angle</t>
  </si>
  <si>
    <t>R</t>
  </si>
  <si>
    <t xml:space="preserve">  L</t>
  </si>
  <si>
    <t>C = Cord</t>
  </si>
  <si>
    <t>A = Area</t>
  </si>
  <si>
    <r>
      <t xml:space="preserve">* </t>
    </r>
    <r>
      <rPr>
        <u val="single"/>
        <sz val="11"/>
        <rFont val="바탕체"/>
        <family val="1"/>
      </rPr>
      <t>ACTUAL CALCULATION</t>
    </r>
  </si>
  <si>
    <t>=</t>
  </si>
  <si>
    <t>mm</t>
  </si>
  <si>
    <t xml:space="preserve">  A</t>
  </si>
  <si>
    <r>
      <t>m</t>
    </r>
    <r>
      <rPr>
        <vertAlign val="superscript"/>
        <sz val="11"/>
        <rFont val="바탕체"/>
        <family val="1"/>
      </rPr>
      <t>2</t>
    </r>
  </si>
  <si>
    <r>
      <t>cm</t>
    </r>
    <r>
      <rPr>
        <vertAlign val="superscript"/>
        <sz val="11"/>
        <rFont val="바탕체"/>
        <family val="1"/>
      </rPr>
      <t>2</t>
    </r>
  </si>
  <si>
    <r>
      <t>mm</t>
    </r>
    <r>
      <rPr>
        <vertAlign val="superscript"/>
        <sz val="11"/>
        <rFont val="바탕체"/>
        <family val="1"/>
      </rPr>
      <t>2</t>
    </r>
  </si>
  <si>
    <t>----------------------------------------------------------------------------------------</t>
  </si>
  <si>
    <t>■ REGULAR POLYGON</t>
  </si>
  <si>
    <t>■ REGULAR HEXAGON</t>
  </si>
  <si>
    <t>n = Number of Sides</t>
  </si>
  <si>
    <t xml:space="preserve">  Number of sides</t>
  </si>
  <si>
    <t>n</t>
  </si>
  <si>
    <t>degree</t>
  </si>
  <si>
    <t xml:space="preserve">  A</t>
  </si>
  <si>
    <t xml:space="preserve">  Length for Side</t>
  </si>
  <si>
    <r>
      <t>m</t>
    </r>
    <r>
      <rPr>
        <vertAlign val="superscript"/>
        <sz val="11"/>
        <rFont val="바탕체"/>
        <family val="1"/>
      </rPr>
      <t>2</t>
    </r>
  </si>
  <si>
    <r>
      <t>β</t>
    </r>
    <r>
      <rPr>
        <sz val="11"/>
        <color indexed="12"/>
        <rFont val="바탕"/>
        <family val="1"/>
      </rPr>
      <t xml:space="preserve"> = 180˚ - </t>
    </r>
    <r>
      <rPr>
        <sz val="11"/>
        <color indexed="12"/>
        <rFont val="굴림"/>
        <family val="3"/>
      </rPr>
      <t>α</t>
    </r>
  </si>
  <si>
    <t xml:space="preserve">  r</t>
  </si>
  <si>
    <t xml:space="preserve">  Circum. Circle Radius</t>
  </si>
  <si>
    <t>r = Radius of Inscribed Circle</t>
  </si>
  <si>
    <t>R = Radius of Circumscribed Circle</t>
  </si>
  <si>
    <t xml:space="preserve">  Radius of Circum.</t>
  </si>
  <si>
    <t>P = Perimeter</t>
  </si>
  <si>
    <t>a</t>
  </si>
  <si>
    <t>b</t>
  </si>
  <si>
    <t xml:space="preserve">  P</t>
  </si>
  <si>
    <t>C = Ratio of Minor Axis to Major Axis</t>
  </si>
  <si>
    <t xml:space="preserve">  Lehgth</t>
  </si>
  <si>
    <t>b</t>
  </si>
  <si>
    <t xml:space="preserve">  Y</t>
  </si>
  <si>
    <t xml:space="preserve">  Heigh</t>
  </si>
  <si>
    <t>X</t>
  </si>
  <si>
    <t>■ ELLIPSE 1</t>
  </si>
  <si>
    <t>■ ELLIPSE 2</t>
  </si>
  <si>
    <r>
      <t xml:space="preserve">* </t>
    </r>
    <r>
      <rPr>
        <u val="single"/>
        <sz val="11"/>
        <rFont val="바탕체"/>
        <family val="1"/>
      </rPr>
      <t>ACTUAL CALCULATION</t>
    </r>
  </si>
  <si>
    <t>=</t>
  </si>
  <si>
    <r>
      <t>ρ</t>
    </r>
    <r>
      <rPr>
        <b/>
        <sz val="11"/>
        <color indexed="12"/>
        <rFont val="바탕"/>
        <family val="1"/>
      </rPr>
      <t xml:space="preserve"> = </t>
    </r>
    <r>
      <rPr>
        <b/>
        <sz val="11"/>
        <color indexed="12"/>
        <rFont val="굴림"/>
        <family val="3"/>
      </rPr>
      <t>μ</t>
    </r>
    <r>
      <rPr>
        <b/>
        <sz val="11"/>
        <color indexed="12"/>
        <rFont val="바탕"/>
        <family val="1"/>
      </rPr>
      <t xml:space="preserve"> / </t>
    </r>
    <r>
      <rPr>
        <b/>
        <sz val="11"/>
        <color indexed="12"/>
        <rFont val="굴림"/>
        <family val="3"/>
      </rPr>
      <t>υ</t>
    </r>
  </si>
  <si>
    <r>
      <t>V =  π * d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* L / 4  </t>
    </r>
  </si>
  <si>
    <r>
      <t>V =  π * H * (d</t>
    </r>
    <r>
      <rPr>
        <b/>
        <vertAlign val="subscript"/>
        <sz val="11"/>
        <color indexed="12"/>
        <rFont val="바탕"/>
        <family val="1"/>
      </rPr>
      <t>1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+ d</t>
    </r>
    <r>
      <rPr>
        <b/>
        <vertAlign val="subscript"/>
        <sz val="11"/>
        <color indexed="12"/>
        <rFont val="바탕"/>
        <family val="1"/>
      </rPr>
      <t xml:space="preserve">1 </t>
    </r>
    <r>
      <rPr>
        <b/>
        <sz val="11"/>
        <color indexed="12"/>
        <rFont val="바탕"/>
        <family val="1"/>
      </rPr>
      <t>* d</t>
    </r>
    <r>
      <rPr>
        <b/>
        <vertAlign val="sub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+ d</t>
    </r>
    <r>
      <rPr>
        <b/>
        <vertAlign val="subscript"/>
        <sz val="11"/>
        <color indexed="12"/>
        <rFont val="바탕"/>
        <family val="1"/>
      </rPr>
      <t>2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 / 12</t>
    </r>
  </si>
  <si>
    <r>
      <t>S =  π * C * (D</t>
    </r>
    <r>
      <rPr>
        <b/>
        <vertAlign val="subscript"/>
        <sz val="11"/>
        <color indexed="12"/>
        <rFont val="바탕"/>
        <family val="1"/>
      </rPr>
      <t>1</t>
    </r>
    <r>
      <rPr>
        <b/>
        <sz val="11"/>
        <color indexed="12"/>
        <rFont val="바탕"/>
        <family val="1"/>
      </rPr>
      <t xml:space="preserve"> + D</t>
    </r>
    <r>
      <rPr>
        <b/>
        <vertAlign val="sub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 / 2</t>
    </r>
  </si>
  <si>
    <r>
      <t xml:space="preserve">C = 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{(D</t>
    </r>
    <r>
      <rPr>
        <b/>
        <vertAlign val="subscript"/>
        <sz val="11"/>
        <color indexed="12"/>
        <rFont val="바탕"/>
        <family val="1"/>
      </rPr>
      <t>1</t>
    </r>
    <r>
      <rPr>
        <b/>
        <sz val="11"/>
        <color indexed="12"/>
        <rFont val="바탕"/>
        <family val="1"/>
      </rPr>
      <t xml:space="preserve"> - D</t>
    </r>
    <r>
      <rPr>
        <b/>
        <vertAlign val="sub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)/2}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+ H</t>
    </r>
    <r>
      <rPr>
        <b/>
        <vertAlign val="superscript"/>
        <sz val="11"/>
        <color indexed="12"/>
        <rFont val="바탕"/>
        <family val="1"/>
      </rPr>
      <t>2</t>
    </r>
  </si>
  <si>
    <r>
      <t>V = π * d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* L / 12  </t>
    </r>
  </si>
  <si>
    <t>S = π * D * C / 2</t>
  </si>
  <si>
    <r>
      <t>V =  A</t>
    </r>
    <r>
      <rPr>
        <b/>
        <vertAlign val="superscript"/>
        <sz val="11"/>
        <color indexed="12"/>
        <rFont val="바탕"/>
        <family val="1"/>
      </rPr>
      <t>3</t>
    </r>
    <r>
      <rPr>
        <b/>
        <sz val="11"/>
        <color indexed="12"/>
        <rFont val="바탕"/>
        <family val="1"/>
      </rPr>
      <t xml:space="preserve"> </t>
    </r>
  </si>
  <si>
    <r>
      <t>S =  6 * A</t>
    </r>
    <r>
      <rPr>
        <b/>
        <vertAlign val="superscript"/>
        <sz val="11"/>
        <color indexed="12"/>
        <rFont val="바탕"/>
        <family val="1"/>
      </rPr>
      <t>2</t>
    </r>
  </si>
  <si>
    <r>
      <t>V =  (π * d</t>
    </r>
    <r>
      <rPr>
        <b/>
        <vertAlign val="superscript"/>
        <sz val="11"/>
        <color indexed="12"/>
        <rFont val="바탕"/>
        <family val="1"/>
      </rPr>
      <t>3</t>
    </r>
    <r>
      <rPr>
        <b/>
        <sz val="11"/>
        <color indexed="12"/>
        <rFont val="바탕"/>
        <family val="1"/>
      </rPr>
      <t>) / 6</t>
    </r>
  </si>
  <si>
    <r>
      <t>S =  π * d</t>
    </r>
    <r>
      <rPr>
        <b/>
        <vertAlign val="superscript"/>
        <sz val="11"/>
        <color indexed="12"/>
        <rFont val="바탕"/>
        <family val="1"/>
      </rPr>
      <t>2</t>
    </r>
  </si>
  <si>
    <r>
      <t>V =  0.5236 * H * (3*C1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/4 + 3*C2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/4 + H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</t>
    </r>
  </si>
  <si>
    <t>S =  π * D * H</t>
  </si>
  <si>
    <r>
      <t>A = a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/2</t>
    </r>
  </si>
  <si>
    <r>
      <t>A = π * d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/ 4</t>
    </r>
  </si>
  <si>
    <r>
      <t>C = π * d</t>
    </r>
  </si>
  <si>
    <r>
      <t>A = 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* π * θ / 360</t>
    </r>
  </si>
  <si>
    <t>L = R * π * θ / 180</t>
  </si>
  <si>
    <t>R = 2 * A / L</t>
  </si>
  <si>
    <t>A = n * r * H / 2</t>
  </si>
  <si>
    <r>
      <t xml:space="preserve">r =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(R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- H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/4)</t>
    </r>
  </si>
  <si>
    <r>
      <t xml:space="preserve">H = 2 *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(R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- 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</t>
    </r>
  </si>
  <si>
    <r>
      <t xml:space="preserve">R =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(r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+ H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/4)</t>
    </r>
  </si>
  <si>
    <r>
      <t>A = 2.598 * H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= 3.464 * r</t>
    </r>
    <r>
      <rPr>
        <b/>
        <vertAlign val="superscript"/>
        <sz val="11"/>
        <color indexed="12"/>
        <rFont val="바탕"/>
        <family val="1"/>
      </rPr>
      <t>2</t>
    </r>
  </si>
  <si>
    <t>R = H = 1.155 * r</t>
  </si>
  <si>
    <t>A = π * a * b</t>
  </si>
  <si>
    <r>
      <t xml:space="preserve">P = π *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{2 * (a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+ b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)}</t>
    </r>
  </si>
  <si>
    <t>C = a / b</t>
  </si>
  <si>
    <r>
      <t xml:space="preserve">X =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{a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- (2 * C * Y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)}</t>
    </r>
  </si>
  <si>
    <r>
      <t xml:space="preserve">Y =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(a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- X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>) / C</t>
    </r>
  </si>
  <si>
    <r>
      <t>ρ</t>
    </r>
    <r>
      <rPr>
        <sz val="11"/>
        <rFont val="바탕"/>
        <family val="1"/>
      </rPr>
      <t xml:space="preserve"> = Density (밀도)</t>
    </r>
  </si>
  <si>
    <r>
      <t>μ</t>
    </r>
    <r>
      <rPr>
        <sz val="11"/>
        <rFont val="바탕"/>
        <family val="1"/>
      </rPr>
      <t xml:space="preserve"> = Viscosity (점도)</t>
    </r>
  </si>
  <si>
    <r>
      <t>υ</t>
    </r>
    <r>
      <rPr>
        <sz val="11"/>
        <rFont val="바탕"/>
        <family val="1"/>
      </rPr>
      <t xml:space="preserve"> = Kinematic Viscosity (동점도)</t>
    </r>
  </si>
  <si>
    <t>υ</t>
  </si>
  <si>
    <t>μ</t>
  </si>
  <si>
    <r>
      <t>kg/m</t>
    </r>
    <r>
      <rPr>
        <vertAlign val="superscript"/>
        <sz val="11"/>
        <rFont val="바탕체"/>
        <family val="1"/>
      </rPr>
      <t>3</t>
    </r>
  </si>
  <si>
    <t>cSt</t>
  </si>
  <si>
    <t>ρ</t>
  </si>
  <si>
    <t>CP</t>
  </si>
  <si>
    <t>P</t>
  </si>
  <si>
    <t xml:space="preserve">DENSITY CALCULATION </t>
  </si>
  <si>
    <t>■ DENSITY</t>
  </si>
  <si>
    <r>
      <t>ρ</t>
    </r>
    <r>
      <rPr>
        <sz val="11"/>
        <rFont val="바탕"/>
        <family val="1"/>
      </rPr>
      <t xml:space="preserve"> = Density (밀도)</t>
    </r>
  </si>
  <si>
    <r>
      <t>μ</t>
    </r>
    <r>
      <rPr>
        <sz val="11"/>
        <rFont val="바탕"/>
        <family val="1"/>
      </rPr>
      <t xml:space="preserve"> = Viscosity (점도)</t>
    </r>
  </si>
  <si>
    <r>
      <t>υ</t>
    </r>
    <r>
      <rPr>
        <sz val="11"/>
        <rFont val="바탕"/>
        <family val="1"/>
      </rPr>
      <t xml:space="preserve"> = Kinematic Viscosity (동점도)</t>
    </r>
  </si>
  <si>
    <r>
      <t>μ</t>
    </r>
    <r>
      <rPr>
        <b/>
        <sz val="11"/>
        <color indexed="12"/>
        <rFont val="바탕"/>
        <family val="1"/>
      </rPr>
      <t xml:space="preserve"> = </t>
    </r>
    <r>
      <rPr>
        <b/>
        <sz val="11"/>
        <color indexed="12"/>
        <rFont val="굴림"/>
        <family val="3"/>
      </rPr>
      <t>ρ</t>
    </r>
    <r>
      <rPr>
        <b/>
        <sz val="11"/>
        <color indexed="12"/>
        <rFont val="바탕"/>
        <family val="1"/>
      </rPr>
      <t xml:space="preserve"> * </t>
    </r>
    <r>
      <rPr>
        <b/>
        <sz val="11"/>
        <color indexed="12"/>
        <rFont val="굴림"/>
        <family val="3"/>
      </rPr>
      <t>υ</t>
    </r>
  </si>
  <si>
    <t>■ VISCOSITY</t>
  </si>
  <si>
    <t xml:space="preserve">  Viscosity</t>
  </si>
  <si>
    <t xml:space="preserve">  Kinematic Viscosity</t>
  </si>
  <si>
    <t xml:space="preserve">VISCOSITY CALCULATION </t>
  </si>
  <si>
    <r>
      <t xml:space="preserve">a. </t>
    </r>
    <r>
      <rPr>
        <u val="single"/>
        <sz val="11"/>
        <rFont val="바탕체"/>
        <family val="1"/>
      </rPr>
      <t>Viscosity (</t>
    </r>
    <r>
      <rPr>
        <u val="single"/>
        <sz val="11"/>
        <rFont val="굴림"/>
        <family val="3"/>
      </rPr>
      <t>μ</t>
    </r>
    <r>
      <rPr>
        <u val="single"/>
        <sz val="11"/>
        <rFont val="바탕체"/>
        <family val="1"/>
      </rPr>
      <t>)</t>
    </r>
  </si>
  <si>
    <r>
      <t>μ</t>
    </r>
    <r>
      <rPr>
        <sz val="11"/>
        <rFont val="바탕"/>
        <family val="1"/>
      </rPr>
      <t xml:space="preserve"> = Viscosity (점도)</t>
    </r>
  </si>
  <si>
    <r>
      <t>ρ</t>
    </r>
    <r>
      <rPr>
        <sz val="11"/>
        <rFont val="바탕"/>
        <family val="1"/>
      </rPr>
      <t xml:space="preserve"> = Density (밀도)</t>
    </r>
  </si>
  <si>
    <r>
      <t>υ</t>
    </r>
    <r>
      <rPr>
        <sz val="11"/>
        <rFont val="바탕"/>
        <family val="1"/>
      </rPr>
      <t xml:space="preserve"> = Kinematic Viscosity (동점도)</t>
    </r>
  </si>
  <si>
    <r>
      <t xml:space="preserve">* </t>
    </r>
    <r>
      <rPr>
        <u val="single"/>
        <sz val="11"/>
        <rFont val="바탕체"/>
        <family val="1"/>
      </rPr>
      <t>ACTUAL CALCULATION</t>
    </r>
  </si>
  <si>
    <t>=</t>
  </si>
  <si>
    <t xml:space="preserve">KINEMATIC VISCOSITY CALCULATION </t>
  </si>
  <si>
    <r>
      <t>υ</t>
    </r>
    <r>
      <rPr>
        <b/>
        <sz val="11"/>
        <color indexed="12"/>
        <rFont val="바탕"/>
        <family val="1"/>
      </rPr>
      <t xml:space="preserve"> = </t>
    </r>
    <r>
      <rPr>
        <b/>
        <sz val="11"/>
        <color indexed="12"/>
        <rFont val="굴림"/>
        <family val="3"/>
      </rPr>
      <t>μ</t>
    </r>
    <r>
      <rPr>
        <b/>
        <sz val="11"/>
        <color indexed="12"/>
        <rFont val="바탕"/>
        <family val="1"/>
      </rPr>
      <t xml:space="preserve"> / </t>
    </r>
    <r>
      <rPr>
        <b/>
        <sz val="11"/>
        <color indexed="12"/>
        <rFont val="굴림"/>
        <family val="3"/>
      </rPr>
      <t>ρ</t>
    </r>
  </si>
  <si>
    <t xml:space="preserve">  Density</t>
  </si>
  <si>
    <t>■ FLOW RATE</t>
  </si>
  <si>
    <t>Q = Flow Rate (유량)</t>
  </si>
  <si>
    <t>V = Velocity (유속)</t>
  </si>
  <si>
    <t>A = Section Area (단면적)</t>
  </si>
  <si>
    <t xml:space="preserve">  Velocity</t>
  </si>
  <si>
    <t>m/sec</t>
  </si>
  <si>
    <t>L/min.</t>
  </si>
  <si>
    <t>gal/min (US)</t>
  </si>
  <si>
    <t>FLOW RATE CALCULATION</t>
  </si>
  <si>
    <t>cm</t>
  </si>
  <si>
    <t>m</t>
  </si>
  <si>
    <t>ft</t>
  </si>
  <si>
    <t>mile</t>
  </si>
  <si>
    <t>yd</t>
  </si>
  <si>
    <t>m/h</t>
  </si>
  <si>
    <t>km/h</t>
  </si>
  <si>
    <t>ft/sec</t>
  </si>
  <si>
    <t>ft/min</t>
  </si>
  <si>
    <t>mile/h</t>
  </si>
  <si>
    <t>in/sec</t>
  </si>
  <si>
    <t>in</t>
  </si>
  <si>
    <t>Q</t>
  </si>
  <si>
    <t>Q = Flow Rate (유량)</t>
  </si>
  <si>
    <t>V = Velocity (유속)</t>
  </si>
  <si>
    <t xml:space="preserve">  Velocity</t>
  </si>
  <si>
    <t>m/sec</t>
  </si>
  <si>
    <t>A</t>
  </si>
  <si>
    <r>
      <t>m</t>
    </r>
    <r>
      <rPr>
        <vertAlign val="superscript"/>
        <sz val="11"/>
        <rFont val="바탕체"/>
        <family val="1"/>
      </rPr>
      <t>2</t>
    </r>
  </si>
  <si>
    <r>
      <t>m</t>
    </r>
    <r>
      <rPr>
        <vertAlign val="superscript"/>
        <sz val="10"/>
        <rFont val="바탕체"/>
        <family val="1"/>
      </rPr>
      <t>3</t>
    </r>
    <r>
      <rPr>
        <sz val="10"/>
        <rFont val="바탕체"/>
        <family val="1"/>
      </rPr>
      <t>/h</t>
    </r>
  </si>
  <si>
    <t>cm</t>
  </si>
  <si>
    <t>m/h</t>
  </si>
  <si>
    <t>km/h</t>
  </si>
  <si>
    <t>in</t>
  </si>
  <si>
    <t>in/sec</t>
  </si>
  <si>
    <t>ft</t>
  </si>
  <si>
    <t>ft/sec</t>
  </si>
  <si>
    <t>ft/min</t>
  </si>
  <si>
    <t>mile/h</t>
  </si>
  <si>
    <t>INSIDE DIA. CALCULATION</t>
  </si>
  <si>
    <t>■ INSIDE DIA. (PIPE SIZE)</t>
  </si>
  <si>
    <t xml:space="preserve">  Flow Rate</t>
  </si>
  <si>
    <r>
      <t xml:space="preserve">a. </t>
    </r>
    <r>
      <rPr>
        <u val="single"/>
        <sz val="11"/>
        <rFont val="바탕체"/>
        <family val="1"/>
      </rPr>
      <t>Flow Rate (</t>
    </r>
    <r>
      <rPr>
        <u val="single"/>
        <sz val="11"/>
        <rFont val="바탕"/>
        <family val="1"/>
      </rPr>
      <t>Q</t>
    </r>
    <r>
      <rPr>
        <u val="single"/>
        <sz val="11"/>
        <rFont val="바탕체"/>
        <family val="1"/>
      </rPr>
      <t>)</t>
    </r>
  </si>
  <si>
    <r>
      <t xml:space="preserve">b. </t>
    </r>
    <r>
      <rPr>
        <u val="single"/>
        <sz val="11"/>
        <rFont val="바탕체"/>
        <family val="1"/>
      </rPr>
      <t>Velocity (</t>
    </r>
    <r>
      <rPr>
        <u val="single"/>
        <sz val="11"/>
        <rFont val="바탕"/>
        <family val="1"/>
      </rPr>
      <t>V</t>
    </r>
    <r>
      <rPr>
        <u val="single"/>
        <sz val="11"/>
        <rFont val="바탕체"/>
        <family val="1"/>
      </rPr>
      <t>)</t>
    </r>
  </si>
  <si>
    <r>
      <t xml:space="preserve">a. </t>
    </r>
    <r>
      <rPr>
        <u val="single"/>
        <sz val="11"/>
        <rFont val="바탕체"/>
        <family val="1"/>
      </rPr>
      <t>Inside Dia. (</t>
    </r>
    <r>
      <rPr>
        <u val="single"/>
        <sz val="11"/>
        <rFont val="바탕"/>
        <family val="1"/>
      </rPr>
      <t>d</t>
    </r>
    <r>
      <rPr>
        <u val="single"/>
        <sz val="11"/>
        <rFont val="바탕체"/>
        <family val="1"/>
      </rPr>
      <t>)</t>
    </r>
  </si>
  <si>
    <t>d</t>
  </si>
  <si>
    <t>V</t>
  </si>
  <si>
    <t>V</t>
  </si>
  <si>
    <t>Q = A * V</t>
  </si>
  <si>
    <r>
      <t xml:space="preserve">d =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(4 Q) / (π * V)</t>
    </r>
  </si>
  <si>
    <t>d = Inside Dia (내경)</t>
  </si>
  <si>
    <r>
      <t>ft</t>
    </r>
    <r>
      <rPr>
        <vertAlign val="superscript"/>
        <sz val="10"/>
        <rFont val="바탕체"/>
        <family val="1"/>
      </rPr>
      <t>3</t>
    </r>
    <r>
      <rPr>
        <sz val="10"/>
        <rFont val="바탕체"/>
        <family val="1"/>
      </rPr>
      <t>/sec</t>
    </r>
  </si>
  <si>
    <t>gal/min</t>
  </si>
  <si>
    <t>(US)</t>
  </si>
  <si>
    <t>※ Calculation for Unit Conversion</t>
  </si>
  <si>
    <t>Q = Flow Rate (유량)</t>
  </si>
  <si>
    <t>V = Velocity (유속)</t>
  </si>
  <si>
    <t>VELOCITY CALCULATION</t>
  </si>
  <si>
    <t>V = Q / A</t>
  </si>
  <si>
    <t>■ VELOCITY</t>
  </si>
  <si>
    <t xml:space="preserve">  Thickness</t>
  </si>
  <si>
    <t>W  = Weight</t>
  </si>
  <si>
    <t>t   = Thickness</t>
  </si>
  <si>
    <t>Sg = Specific Gravity</t>
  </si>
  <si>
    <t>L  = Length</t>
  </si>
  <si>
    <t>Sg</t>
  </si>
  <si>
    <t>W  = Weight</t>
  </si>
  <si>
    <t>t   = Thickness</t>
  </si>
  <si>
    <t>Sg = Specific Gravity</t>
  </si>
  <si>
    <t>w  = Width</t>
  </si>
  <si>
    <t>W = L * w * t * Sg</t>
  </si>
  <si>
    <t>----------------------------------------------------------------------------------------</t>
  </si>
  <si>
    <t>WEIGHT CALCULATION</t>
  </si>
  <si>
    <t>■ PLATE</t>
  </si>
  <si>
    <t xml:space="preserve">  Specific Gravity</t>
  </si>
  <si>
    <t>W</t>
  </si>
  <si>
    <t>kg</t>
  </si>
  <si>
    <t>lb</t>
  </si>
  <si>
    <r>
      <t>W = π/2 * t * C * (D</t>
    </r>
    <r>
      <rPr>
        <b/>
        <vertAlign val="subscript"/>
        <sz val="11"/>
        <color indexed="12"/>
        <rFont val="바탕"/>
        <family val="1"/>
      </rPr>
      <t>1</t>
    </r>
    <r>
      <rPr>
        <b/>
        <sz val="11"/>
        <color indexed="12"/>
        <rFont val="바탕"/>
        <family val="1"/>
      </rPr>
      <t xml:space="preserve"> + D</t>
    </r>
    <r>
      <rPr>
        <b/>
        <vertAlign val="sub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- 2t) * Sg</t>
    </r>
  </si>
  <si>
    <t>■ CONE</t>
  </si>
  <si>
    <t>d  = Dia.</t>
  </si>
  <si>
    <t xml:space="preserve">  Dia.</t>
  </si>
  <si>
    <t>L</t>
  </si>
  <si>
    <t>■ ROUND BAR</t>
  </si>
  <si>
    <t>■ ROUND PLATE</t>
  </si>
  <si>
    <t>t</t>
  </si>
  <si>
    <t>PRESSURE VESSEL CALCULATION</t>
  </si>
  <si>
    <t xml:space="preserve">  Design Pressure</t>
  </si>
  <si>
    <t xml:space="preserve">  Allowable Stress</t>
  </si>
  <si>
    <t xml:space="preserve">  Joint Efficiency</t>
  </si>
  <si>
    <t xml:space="preserve">  Corrosion Allowance</t>
  </si>
  <si>
    <r>
      <t>kgf/cm</t>
    </r>
    <r>
      <rPr>
        <vertAlign val="superscript"/>
        <sz val="11"/>
        <rFont val="바탕체"/>
        <family val="1"/>
      </rPr>
      <t>2</t>
    </r>
  </si>
  <si>
    <t>P</t>
  </si>
  <si>
    <t>S</t>
  </si>
  <si>
    <t>E</t>
  </si>
  <si>
    <t>C</t>
  </si>
  <si>
    <r>
      <t>t</t>
    </r>
    <r>
      <rPr>
        <vertAlign val="subscript"/>
        <sz val="12"/>
        <rFont val="바탕"/>
        <family val="1"/>
      </rPr>
      <t xml:space="preserve">h </t>
    </r>
    <r>
      <rPr>
        <sz val="11"/>
        <rFont val="바탕"/>
        <family val="1"/>
      </rPr>
      <t xml:space="preserve"> = Required Thickness for 2:1 Ellips. Head</t>
    </r>
  </si>
  <si>
    <t>P  = Design Pressure</t>
  </si>
  <si>
    <t>R  = Inside Radius</t>
  </si>
  <si>
    <t>S  = Allowable Stress</t>
  </si>
  <si>
    <t>E  = Joint Efficiency</t>
  </si>
  <si>
    <t>C  = Corrosion Allowance</t>
  </si>
  <si>
    <r>
      <t>t</t>
    </r>
    <r>
      <rPr>
        <vertAlign val="subscript"/>
        <sz val="12"/>
        <rFont val="바탕"/>
        <family val="1"/>
      </rPr>
      <t xml:space="preserve">s </t>
    </r>
    <r>
      <rPr>
        <sz val="11"/>
        <rFont val="바탕"/>
        <family val="1"/>
      </rPr>
      <t xml:space="preserve"> = Required Thickness for Shell</t>
    </r>
  </si>
  <si>
    <r>
      <t>t</t>
    </r>
    <r>
      <rPr>
        <vertAlign val="subscript"/>
        <sz val="12"/>
        <rFont val="바탕체"/>
        <family val="1"/>
      </rPr>
      <t>S</t>
    </r>
  </si>
  <si>
    <r>
      <t>t</t>
    </r>
    <r>
      <rPr>
        <vertAlign val="subscript"/>
        <sz val="12"/>
        <rFont val="바탕체"/>
        <family val="1"/>
      </rPr>
      <t>h</t>
    </r>
  </si>
  <si>
    <r>
      <t>t</t>
    </r>
    <r>
      <rPr>
        <b/>
        <vertAlign val="subscript"/>
        <sz val="12"/>
        <color indexed="12"/>
        <rFont val="바탕"/>
        <family val="1"/>
      </rPr>
      <t>s</t>
    </r>
    <r>
      <rPr>
        <b/>
        <sz val="8"/>
        <color indexed="12"/>
        <rFont val="바탕"/>
        <family val="1"/>
      </rPr>
      <t xml:space="preserve"> </t>
    </r>
    <r>
      <rPr>
        <b/>
        <sz val="11"/>
        <color indexed="12"/>
        <rFont val="바탕"/>
        <family val="1"/>
      </rPr>
      <t>= P * R / (S * E - 0.6 P) + C</t>
    </r>
  </si>
  <si>
    <r>
      <t>t</t>
    </r>
    <r>
      <rPr>
        <b/>
        <vertAlign val="subscript"/>
        <sz val="12"/>
        <color indexed="12"/>
        <rFont val="바탕"/>
        <family val="1"/>
      </rPr>
      <t xml:space="preserve">h </t>
    </r>
    <r>
      <rPr>
        <b/>
        <sz val="11"/>
        <color indexed="12"/>
        <rFont val="바탕"/>
        <family val="1"/>
      </rPr>
      <t>= P * D / (2 S * E - 0.2 P) + C</t>
    </r>
  </si>
  <si>
    <t>■ THICKNESS for SHELL &amp; 2:1 ELLIPSOIDAL HEADS</t>
  </si>
  <si>
    <t xml:space="preserve">  Length for End to End</t>
  </si>
  <si>
    <t xml:space="preserve">  Heigh for T.L. to T.L.</t>
  </si>
  <si>
    <t xml:space="preserve">  Insdie Dia for Nozzle</t>
  </si>
  <si>
    <t>V</t>
  </si>
  <si>
    <r>
      <t>m</t>
    </r>
    <r>
      <rPr>
        <vertAlign val="superscript"/>
        <sz val="11"/>
        <rFont val="바탕체"/>
        <family val="1"/>
      </rPr>
      <t>3</t>
    </r>
  </si>
  <si>
    <t>≒</t>
  </si>
  <si>
    <t>■ VOLUME for PRESSURE VESSEL</t>
  </si>
  <si>
    <t xml:space="preserve">    ∴ Used min. Th'k for Head</t>
  </si>
  <si>
    <t>mm  (= Required min. Th'k after forming)</t>
  </si>
  <si>
    <t>mm</t>
  </si>
  <si>
    <t>A = 2 * (C + t + d) + G + F</t>
  </si>
  <si>
    <t>L = Length for Stud Bolt</t>
  </si>
  <si>
    <t>L = A + n</t>
  </si>
  <si>
    <t xml:space="preserve">  Min. Flange Thickness</t>
  </si>
  <si>
    <t xml:space="preserve">  Plus Tolerance for Flange Thickness</t>
  </si>
  <si>
    <t xml:space="preserve">  Heavy Nut Thickness</t>
  </si>
  <si>
    <t xml:space="preserve">  Total Height of Facing of Depth</t>
  </si>
  <si>
    <t xml:space="preserve">  Gasket Thickness</t>
  </si>
  <si>
    <t xml:space="preserve">  Negative Tolerance on Bolt Length</t>
  </si>
  <si>
    <t>F</t>
  </si>
  <si>
    <t>G</t>
  </si>
  <si>
    <t>n</t>
  </si>
  <si>
    <t xml:space="preserve">  Bolt Size</t>
  </si>
  <si>
    <t>inch</t>
  </si>
  <si>
    <t>A</t>
  </si>
  <si>
    <t>A = Stud Bolt Length Exclusive of Negative Tolerance n</t>
  </si>
  <si>
    <t>C = Min. Flange Thickness</t>
  </si>
  <si>
    <t>t  = Plus Tolerance for Flange Thickness</t>
  </si>
  <si>
    <t>d = Heavy Nut Thickness</t>
  </si>
  <si>
    <t>F = Total Height of Facing of Depth</t>
  </si>
  <si>
    <t>G = Gasket Thickness</t>
  </si>
  <si>
    <t>n = Negative Tolerance on Bolt Length</t>
  </si>
  <si>
    <t>Per ANSI B16.5 para 6.10.2, Bolt Lengths (ANNEX F)</t>
  </si>
  <si>
    <t>Per ASME Sec.Ⅷ Div.1 UG-27(c)(1),(2)</t>
  </si>
  <si>
    <t>Per ASME Sec.Ⅷ Div.1 UG-32(d)</t>
  </si>
  <si>
    <t>BOLT LENGTH CALCULATION</t>
  </si>
  <si>
    <t>BOLT LENGTH CALCULATION</t>
  </si>
  <si>
    <t>L = Length for Stud Bolt</t>
  </si>
  <si>
    <t xml:space="preserve">  Bolt Size</t>
  </si>
  <si>
    <t>D</t>
  </si>
  <si>
    <t>d</t>
  </si>
  <si>
    <t>L</t>
  </si>
  <si>
    <t>t = Min. Base Thickness</t>
  </si>
  <si>
    <t>d = Hex Nut Thickness</t>
  </si>
  <si>
    <t xml:space="preserve">  Min. Base Thickness</t>
  </si>
  <si>
    <t xml:space="preserve">  Hex Nut Thickness</t>
  </si>
  <si>
    <t>L = t + d + 0.8 D</t>
  </si>
  <si>
    <t>■ STUD BOLT FOR RAISED FACE FLANGE (ANSI)</t>
  </si>
  <si>
    <t>■ HEX BOLT</t>
  </si>
  <si>
    <t>1. FLOW RATE (유량)</t>
  </si>
  <si>
    <t>2. PIPE INSIDE DIA. (내경)</t>
  </si>
  <si>
    <t>3. VELOCITY (유속)</t>
  </si>
  <si>
    <t>4. SPHERE (구형)</t>
  </si>
  <si>
    <t>5. ROUND BAR (환봉)</t>
  </si>
  <si>
    <t>6. ROUND PLATE (원형판)</t>
  </si>
  <si>
    <t>1. PLATE (사각판)</t>
  </si>
  <si>
    <t>1. CUBE (정육면체)</t>
  </si>
  <si>
    <t>2. SQUARE PRISM (직육면체)</t>
  </si>
  <si>
    <t>3. SPHERE (구형)</t>
  </si>
  <si>
    <t>■ SPHERICAL ZONE</t>
  </si>
  <si>
    <t>5. PIPE &amp; CYLINDER (배관)</t>
  </si>
  <si>
    <t>6. ELBOW (엘보우)</t>
  </si>
  <si>
    <t>7. CONCENTRIC REDUCER (동심 축소관)</t>
  </si>
  <si>
    <t>8. CONE (원뿔)</t>
  </si>
  <si>
    <t>홈  페  이  지  :  http://pipeline.wo.to</t>
  </si>
  <si>
    <t xml:space="preserve">                   2. 본 자료에 수록된 내용에 대하여 별도의 책임은 지지 않습니다.</t>
  </si>
  <si>
    <t>최초발행일자  :  1999년 10월 5일</t>
  </si>
  <si>
    <t>개  정  일  자  :  2002년 11월 3일</t>
  </si>
  <si>
    <t xml:space="preserve">   ※ 아래의 각 항목을 클릭하세요</t>
  </si>
  <si>
    <t xml:space="preserve"> 1. RIGHT TRIANGLE WITH 2 45˚ ANGLE (직 삼각형)</t>
  </si>
  <si>
    <t xml:space="preserve"> 2. EQUILATERAL TRIANGLE (등변 삼각형)</t>
  </si>
  <si>
    <t xml:space="preserve"> 3. TRAPEZOID (사다리꼴)</t>
  </si>
  <si>
    <t xml:space="preserve"> 4. CIRCLE (원)</t>
  </si>
  <si>
    <t xml:space="preserve"> 5. CIRCULAR SECTOR (원호)</t>
  </si>
  <si>
    <t xml:space="preserve"> 6. CIRCULAR SEGMENT (원호 부분)</t>
  </si>
  <si>
    <t xml:space="preserve"> 7. REGULAR POLYGON (오각형)</t>
  </si>
  <si>
    <t xml:space="preserve"> 8. REGULAR HEXAGON (육각형)</t>
  </si>
  <si>
    <t xml:space="preserve"> 9. ELLIPS 1</t>
  </si>
  <si>
    <r>
      <t>10.</t>
    </r>
    <r>
      <rPr>
        <sz val="9"/>
        <color indexed="12"/>
        <rFont val="굴림"/>
        <family val="3"/>
      </rPr>
      <t xml:space="preserve"> </t>
    </r>
    <r>
      <rPr>
        <sz val="11"/>
        <color indexed="12"/>
        <rFont val="굴림"/>
        <family val="3"/>
      </rPr>
      <t>ELLIPS 2</t>
    </r>
  </si>
  <si>
    <t>4. SPHERICAL ZONE (구형띠)</t>
  </si>
  <si>
    <t>VER. NO.       :  CAL-2002</t>
  </si>
  <si>
    <t>각종 계산 프로그램</t>
  </si>
  <si>
    <t>2. PIPE &amp; CYLINDER (원형관)</t>
  </si>
  <si>
    <t>■ KINEMATIC VISCOSITY</t>
  </si>
  <si>
    <t xml:space="preserve">     1. PIPE</t>
  </si>
  <si>
    <t>Re =</t>
  </si>
  <si>
    <t>Re</t>
  </si>
  <si>
    <t>ε/D</t>
  </si>
  <si>
    <t>각 f 값  :</t>
  </si>
  <si>
    <t>ε/D  =</t>
  </si>
  <si>
    <t>f   =</t>
  </si>
  <si>
    <t xml:space="preserve">     2. PRESSURE VESSEL</t>
  </si>
  <si>
    <r>
      <t xml:space="preserve">* </t>
    </r>
    <r>
      <rPr>
        <u val="single"/>
        <sz val="11"/>
        <rFont val="바탕체"/>
        <family val="1"/>
      </rPr>
      <t>ACTUAL CALCULATION</t>
    </r>
  </si>
  <si>
    <t>=</t>
  </si>
  <si>
    <t>mm</t>
  </si>
  <si>
    <t>PRESSURE LOSSES CALCULATION</t>
  </si>
  <si>
    <t>■ STRAIGHT PIPE (CYLINDER)</t>
  </si>
  <si>
    <t>ΔP = Pressure Loss</t>
  </si>
  <si>
    <t>f   = Friction Cofficient</t>
  </si>
  <si>
    <t>V  = Velocity</t>
  </si>
  <si>
    <r>
      <t xml:space="preserve">ΔP = f * L/d * </t>
    </r>
    <r>
      <rPr>
        <b/>
        <sz val="11"/>
        <color indexed="12"/>
        <rFont val="굴림"/>
        <family val="3"/>
      </rPr>
      <t>ρ</t>
    </r>
    <r>
      <rPr>
        <b/>
        <sz val="11"/>
        <color indexed="12"/>
        <rFont val="바탕"/>
        <family val="1"/>
      </rPr>
      <t xml:space="preserve"> * V</t>
    </r>
    <r>
      <rPr>
        <b/>
        <vertAlign val="superscript"/>
        <sz val="11"/>
        <color indexed="12"/>
        <rFont val="바탕"/>
        <family val="1"/>
      </rPr>
      <t xml:space="preserve">2 </t>
    </r>
    <r>
      <rPr>
        <b/>
        <sz val="11"/>
        <color indexed="12"/>
        <rFont val="바탕"/>
        <family val="1"/>
      </rPr>
      <t>/ 2 g</t>
    </r>
  </si>
  <si>
    <t>g  = Gravity Velocity</t>
  </si>
  <si>
    <r>
      <t xml:space="preserve">R  =  V * d * </t>
    </r>
    <r>
      <rPr>
        <b/>
        <sz val="11"/>
        <color indexed="12"/>
        <rFont val="굴림"/>
        <family val="3"/>
      </rPr>
      <t>ρ</t>
    </r>
    <r>
      <rPr>
        <b/>
        <sz val="11"/>
        <color indexed="12"/>
        <rFont val="바탕"/>
        <family val="1"/>
      </rPr>
      <t xml:space="preserve"> / </t>
    </r>
    <r>
      <rPr>
        <b/>
        <sz val="11"/>
        <color indexed="12"/>
        <rFont val="굴림"/>
        <family val="3"/>
      </rPr>
      <t>μ</t>
    </r>
  </si>
  <si>
    <r>
      <t>μ</t>
    </r>
    <r>
      <rPr>
        <sz val="11"/>
        <rFont val="바탕"/>
        <family val="1"/>
      </rPr>
      <t xml:space="preserve">  =  Viscosity</t>
    </r>
  </si>
  <si>
    <r>
      <t>ρ</t>
    </r>
    <r>
      <rPr>
        <sz val="11"/>
        <rFont val="바탕"/>
        <family val="1"/>
      </rPr>
      <t xml:space="preserve">  = Density</t>
    </r>
  </si>
  <si>
    <t xml:space="preserve">  Flow Rate</t>
  </si>
  <si>
    <t>Q</t>
  </si>
  <si>
    <t xml:space="preserve">  Density</t>
  </si>
  <si>
    <t xml:space="preserve">  Viscosity</t>
  </si>
  <si>
    <t>μ</t>
  </si>
  <si>
    <t>ρ</t>
  </si>
  <si>
    <r>
      <t>m</t>
    </r>
    <r>
      <rPr>
        <vertAlign val="superscript"/>
        <sz val="11"/>
        <rFont val="바탕체"/>
        <family val="1"/>
      </rPr>
      <t>3</t>
    </r>
    <r>
      <rPr>
        <sz val="11"/>
        <rFont val="바탕체"/>
        <family val="1"/>
      </rPr>
      <t>/h</t>
    </r>
  </si>
  <si>
    <r>
      <t>ε</t>
    </r>
    <r>
      <rPr>
        <sz val="11"/>
        <rFont val="바탕체"/>
        <family val="1"/>
      </rPr>
      <t>/d</t>
    </r>
  </si>
  <si>
    <t>f</t>
  </si>
  <si>
    <t>ΔP</t>
  </si>
  <si>
    <r>
      <t xml:space="preserve">* </t>
    </r>
    <r>
      <rPr>
        <u val="single"/>
        <sz val="11"/>
        <rFont val="바탕체"/>
        <family val="1"/>
      </rPr>
      <t>ACTUAL CALCULATION</t>
    </r>
  </si>
  <si>
    <t xml:space="preserve">  Flow Rate</t>
  </si>
  <si>
    <t>Q</t>
  </si>
  <si>
    <t>=</t>
  </si>
  <si>
    <r>
      <t>m</t>
    </r>
    <r>
      <rPr>
        <vertAlign val="superscript"/>
        <sz val="11"/>
        <rFont val="바탕체"/>
        <family val="1"/>
      </rPr>
      <t>3</t>
    </r>
    <r>
      <rPr>
        <sz val="11"/>
        <rFont val="바탕체"/>
        <family val="1"/>
      </rPr>
      <t>/h</t>
    </r>
  </si>
  <si>
    <t xml:space="preserve">  Inside Dia.</t>
  </si>
  <si>
    <t>d</t>
  </si>
  <si>
    <t>mm</t>
  </si>
  <si>
    <t>A</t>
  </si>
  <si>
    <r>
      <t>m</t>
    </r>
    <r>
      <rPr>
        <vertAlign val="superscript"/>
        <sz val="11"/>
        <rFont val="바탕체"/>
        <family val="1"/>
      </rPr>
      <t>2</t>
    </r>
  </si>
  <si>
    <t>V</t>
  </si>
  <si>
    <t>m/sec</t>
  </si>
  <si>
    <t>m/h</t>
  </si>
  <si>
    <t>in/sec</t>
  </si>
  <si>
    <t>ft/sec</t>
  </si>
  <si>
    <t>mile/h</t>
  </si>
  <si>
    <t>※ Calculation for Unit Conversion</t>
  </si>
  <si>
    <r>
      <t xml:space="preserve">a. </t>
    </r>
    <r>
      <rPr>
        <u val="single"/>
        <sz val="11"/>
        <rFont val="바탕체"/>
        <family val="1"/>
      </rPr>
      <t>Flow Rate (</t>
    </r>
    <r>
      <rPr>
        <u val="single"/>
        <sz val="11"/>
        <rFont val="바탕"/>
        <family val="1"/>
      </rPr>
      <t>Q</t>
    </r>
    <r>
      <rPr>
        <u val="single"/>
        <sz val="11"/>
        <rFont val="바탕체"/>
        <family val="1"/>
      </rPr>
      <t>)</t>
    </r>
  </si>
  <si>
    <r>
      <t xml:space="preserve">b. </t>
    </r>
    <r>
      <rPr>
        <u val="single"/>
        <sz val="11"/>
        <rFont val="바탕체"/>
        <family val="1"/>
      </rPr>
      <t>Inside Dia. (</t>
    </r>
    <r>
      <rPr>
        <u val="single"/>
        <sz val="11"/>
        <rFont val="바탕"/>
        <family val="1"/>
      </rPr>
      <t>d</t>
    </r>
    <r>
      <rPr>
        <u val="single"/>
        <sz val="11"/>
        <rFont val="바탕체"/>
        <family val="1"/>
      </rPr>
      <t>)</t>
    </r>
  </si>
  <si>
    <t>L/min.</t>
  </si>
  <si>
    <t>cm</t>
  </si>
  <si>
    <r>
      <t>ft</t>
    </r>
    <r>
      <rPr>
        <vertAlign val="superscript"/>
        <sz val="11"/>
        <rFont val="바탕체"/>
        <family val="1"/>
      </rPr>
      <t>3</t>
    </r>
    <r>
      <rPr>
        <sz val="11"/>
        <rFont val="바탕체"/>
        <family val="1"/>
      </rPr>
      <t>/h</t>
    </r>
  </si>
  <si>
    <t>m</t>
  </si>
  <si>
    <r>
      <t>ft</t>
    </r>
    <r>
      <rPr>
        <vertAlign val="superscript"/>
        <sz val="11"/>
        <rFont val="바탕체"/>
        <family val="1"/>
      </rPr>
      <t>3</t>
    </r>
    <r>
      <rPr>
        <sz val="11"/>
        <rFont val="바탕체"/>
        <family val="1"/>
      </rPr>
      <t>/sec</t>
    </r>
  </si>
  <si>
    <t>in</t>
  </si>
  <si>
    <t>gal/min</t>
  </si>
  <si>
    <t>ft</t>
  </si>
  <si>
    <t>(US)</t>
  </si>
  <si>
    <t>mile</t>
  </si>
  <si>
    <t>yd</t>
  </si>
  <si>
    <t>ρ</t>
  </si>
  <si>
    <r>
      <t>kg/m</t>
    </r>
    <r>
      <rPr>
        <vertAlign val="superscript"/>
        <sz val="11"/>
        <rFont val="바탕체"/>
        <family val="1"/>
      </rPr>
      <t>3</t>
    </r>
  </si>
  <si>
    <r>
      <t>g/cm</t>
    </r>
    <r>
      <rPr>
        <vertAlign val="superscript"/>
        <sz val="11"/>
        <rFont val="바탕체"/>
        <family val="1"/>
      </rPr>
      <t>3</t>
    </r>
  </si>
  <si>
    <r>
      <t>lb/ft</t>
    </r>
    <r>
      <rPr>
        <vertAlign val="superscript"/>
        <sz val="11"/>
        <rFont val="바탕체"/>
        <family val="1"/>
      </rPr>
      <t>3</t>
    </r>
  </si>
  <si>
    <r>
      <t>lb/in</t>
    </r>
    <r>
      <rPr>
        <vertAlign val="superscript"/>
        <sz val="11"/>
        <rFont val="바탕체"/>
        <family val="1"/>
      </rPr>
      <t>3</t>
    </r>
  </si>
  <si>
    <r>
      <t xml:space="preserve">a. </t>
    </r>
    <r>
      <rPr>
        <u val="single"/>
        <sz val="11"/>
        <rFont val="바탕체"/>
        <family val="1"/>
      </rPr>
      <t>Viscosity (</t>
    </r>
    <r>
      <rPr>
        <u val="single"/>
        <sz val="11"/>
        <rFont val="굴림"/>
        <family val="3"/>
      </rPr>
      <t>μ</t>
    </r>
    <r>
      <rPr>
        <u val="single"/>
        <sz val="11"/>
        <rFont val="바탕체"/>
        <family val="1"/>
      </rPr>
      <t>)</t>
    </r>
  </si>
  <si>
    <r>
      <t xml:space="preserve">b. </t>
    </r>
    <r>
      <rPr>
        <u val="single"/>
        <sz val="11"/>
        <rFont val="바탕체"/>
        <family val="1"/>
      </rPr>
      <t>Kinematic Viscosity (</t>
    </r>
    <r>
      <rPr>
        <u val="single"/>
        <sz val="11"/>
        <rFont val="굴림"/>
        <family val="3"/>
      </rPr>
      <t>υ</t>
    </r>
    <r>
      <rPr>
        <u val="single"/>
        <sz val="11"/>
        <rFont val="바탕체"/>
        <family val="1"/>
      </rPr>
      <t>)</t>
    </r>
  </si>
  <si>
    <r>
      <t>Pa</t>
    </r>
    <r>
      <rPr>
        <sz val="11"/>
        <rFont val="바탕"/>
        <family val="1"/>
      </rPr>
      <t>·</t>
    </r>
    <r>
      <rPr>
        <sz val="11"/>
        <rFont val="바탕체"/>
        <family val="1"/>
      </rPr>
      <t>S</t>
    </r>
  </si>
  <si>
    <t>CP</t>
  </si>
  <si>
    <r>
      <t>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</si>
  <si>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t>cSt</t>
  </si>
  <si>
    <r>
      <t>kg/m</t>
    </r>
    <r>
      <rPr>
        <sz val="11"/>
        <rFont val="바탕"/>
        <family val="1"/>
      </rPr>
      <t>·</t>
    </r>
    <r>
      <rPr>
        <sz val="11"/>
        <rFont val="바탕체"/>
        <family val="1"/>
      </rPr>
      <t>S</t>
    </r>
  </si>
  <si>
    <t>St</t>
  </si>
  <si>
    <t>P</t>
  </si>
  <si>
    <r>
      <t>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/h</t>
    </r>
  </si>
  <si>
    <r>
      <t>kgf</t>
    </r>
    <r>
      <rPr>
        <sz val="11"/>
        <rFont val="바탕"/>
        <family val="1"/>
      </rPr>
      <t>·</t>
    </r>
    <r>
      <rPr>
        <sz val="11"/>
        <rFont val="바탕체"/>
        <family val="1"/>
      </rPr>
      <t>S/m</t>
    </r>
    <r>
      <rPr>
        <vertAlign val="superscript"/>
        <sz val="11"/>
        <rFont val="바탕체"/>
        <family val="1"/>
      </rPr>
      <t>2</t>
    </r>
  </si>
  <si>
    <r>
      <t>ft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</si>
  <si>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>in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</si>
  <si>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 xml:space="preserve">* </t>
    </r>
    <r>
      <rPr>
        <u val="single"/>
        <sz val="11"/>
        <rFont val="바탕체"/>
        <family val="1"/>
      </rPr>
      <t>ACTUAL CALCULATION</t>
    </r>
  </si>
  <si>
    <t xml:space="preserve">  Density</t>
  </si>
  <si>
    <t>ρ</t>
  </si>
  <si>
    <t>=</t>
  </si>
  <si>
    <r>
      <t>kg/m</t>
    </r>
    <r>
      <rPr>
        <vertAlign val="superscript"/>
        <sz val="11"/>
        <rFont val="바탕체"/>
        <family val="1"/>
      </rPr>
      <t>3</t>
    </r>
  </si>
  <si>
    <t xml:space="preserve">  Kinematic Viscosity</t>
  </si>
  <si>
    <t>υ</t>
  </si>
  <si>
    <t>cSt</t>
  </si>
  <si>
    <t>μ</t>
  </si>
  <si>
    <t>CP</t>
  </si>
  <si>
    <r>
      <t>Pa</t>
    </r>
    <r>
      <rPr>
        <sz val="11"/>
        <rFont val="바탕"/>
        <family val="1"/>
      </rPr>
      <t>·</t>
    </r>
    <r>
      <rPr>
        <sz val="11"/>
        <rFont val="바탕체"/>
        <family val="1"/>
      </rPr>
      <t>S</t>
    </r>
  </si>
  <si>
    <r>
      <t>kg/m</t>
    </r>
    <r>
      <rPr>
        <sz val="11"/>
        <rFont val="바탕"/>
        <family val="1"/>
      </rPr>
      <t>·</t>
    </r>
    <r>
      <rPr>
        <sz val="11"/>
        <rFont val="바탕체"/>
        <family val="1"/>
      </rPr>
      <t>S</t>
    </r>
  </si>
  <si>
    <r>
      <t>P (= g/cm</t>
    </r>
    <r>
      <rPr>
        <sz val="11"/>
        <rFont val="바탕"/>
        <family val="1"/>
      </rPr>
      <t>·</t>
    </r>
    <r>
      <rPr>
        <sz val="11"/>
        <rFont val="바탕체"/>
        <family val="1"/>
      </rPr>
      <t>sec)</t>
    </r>
  </si>
  <si>
    <r>
      <t>kgf</t>
    </r>
    <r>
      <rPr>
        <sz val="11"/>
        <rFont val="바탕"/>
        <family val="1"/>
      </rPr>
      <t>·</t>
    </r>
    <r>
      <rPr>
        <sz val="11"/>
        <rFont val="바탕체"/>
        <family val="1"/>
      </rPr>
      <t>S/m</t>
    </r>
    <r>
      <rPr>
        <vertAlign val="superscript"/>
        <sz val="11"/>
        <rFont val="바탕체"/>
        <family val="1"/>
      </rPr>
      <t>2</t>
    </r>
  </si>
  <si>
    <t>※ Calculation for Unit Conversion</t>
  </si>
  <si>
    <r>
      <t xml:space="preserve">a. </t>
    </r>
    <r>
      <rPr>
        <u val="single"/>
        <sz val="11"/>
        <rFont val="바탕체"/>
        <family val="1"/>
      </rPr>
      <t>Density (</t>
    </r>
    <r>
      <rPr>
        <u val="single"/>
        <sz val="11"/>
        <rFont val="굴림"/>
        <family val="3"/>
      </rPr>
      <t>ρ</t>
    </r>
    <r>
      <rPr>
        <u val="single"/>
        <sz val="11"/>
        <rFont val="바탕체"/>
        <family val="1"/>
      </rPr>
      <t>)</t>
    </r>
  </si>
  <si>
    <r>
      <t xml:space="preserve">b. </t>
    </r>
    <r>
      <rPr>
        <u val="single"/>
        <sz val="11"/>
        <rFont val="바탕체"/>
        <family val="1"/>
      </rPr>
      <t>Kinematic Viscosity (</t>
    </r>
    <r>
      <rPr>
        <u val="single"/>
        <sz val="11"/>
        <rFont val="굴림"/>
        <family val="3"/>
      </rPr>
      <t>υ</t>
    </r>
    <r>
      <rPr>
        <u val="single"/>
        <sz val="11"/>
        <rFont val="바탕체"/>
        <family val="1"/>
      </rPr>
      <t>)</t>
    </r>
  </si>
  <si>
    <r>
      <t>g/cm</t>
    </r>
    <r>
      <rPr>
        <vertAlign val="superscript"/>
        <sz val="11"/>
        <rFont val="바탕체"/>
        <family val="1"/>
      </rPr>
      <t>3</t>
    </r>
  </si>
  <si>
    <r>
      <t>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</si>
  <si>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>g/m</t>
    </r>
    <r>
      <rPr>
        <vertAlign val="superscript"/>
        <sz val="11"/>
        <rFont val="바탕체"/>
        <family val="1"/>
      </rPr>
      <t>3</t>
    </r>
  </si>
  <si>
    <t>St</t>
  </si>
  <si>
    <r>
      <t>lb/ft</t>
    </r>
    <r>
      <rPr>
        <vertAlign val="superscript"/>
        <sz val="11"/>
        <rFont val="바탕체"/>
        <family val="1"/>
      </rPr>
      <t>3</t>
    </r>
  </si>
  <si>
    <r>
      <t>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/h</t>
    </r>
  </si>
  <si>
    <r>
      <t>lb/in</t>
    </r>
    <r>
      <rPr>
        <vertAlign val="superscript"/>
        <sz val="11"/>
        <rFont val="바탕체"/>
        <family val="1"/>
      </rPr>
      <t>3</t>
    </r>
  </si>
  <si>
    <r>
      <t>ft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</si>
  <si>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r>
      <t>in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/s</t>
    </r>
  </si>
  <si>
    <t>1. THICKNESS for SHELL &amp; HEAD (두께 강도계산)</t>
  </si>
  <si>
    <r>
      <t xml:space="preserve">C = 2 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h (2 R - h)</t>
    </r>
  </si>
  <si>
    <r>
      <t>h = R - (</t>
    </r>
    <r>
      <rPr>
        <b/>
        <sz val="14"/>
        <color indexed="12"/>
        <rFont val="바탕"/>
        <family val="1"/>
      </rPr>
      <t>√</t>
    </r>
    <r>
      <rPr>
        <b/>
        <sz val="11"/>
        <color indexed="12"/>
        <rFont val="바탕"/>
        <family val="1"/>
      </rPr>
      <t xml:space="preserve"> 4 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- C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)/ 2</t>
    </r>
  </si>
  <si>
    <r>
      <t>A = (R</t>
    </r>
    <r>
      <rPr>
        <b/>
        <vertAlign val="superscript"/>
        <sz val="11"/>
        <color indexed="12"/>
        <rFont val="바탕"/>
        <family val="1"/>
      </rPr>
      <t>2</t>
    </r>
    <r>
      <rPr>
        <b/>
        <sz val="11"/>
        <color indexed="12"/>
        <rFont val="바탕"/>
        <family val="1"/>
      </rPr>
      <t xml:space="preserve"> * π * θ / 360) - C (R - h) / 2</t>
    </r>
  </si>
  <si>
    <t xml:space="preserve">  h</t>
  </si>
  <si>
    <t>R  = Reynolds No.</t>
  </si>
  <si>
    <t xml:space="preserve">              주) 1. 본 파일의 내용을 무단복제 및 무단배포 할 수 없으며, 저작권은 파이프라인과</t>
  </si>
  <si>
    <r>
      <t xml:space="preserve">                       버스여행에 있습니다. </t>
    </r>
    <r>
      <rPr>
        <sz val="9"/>
        <color indexed="10"/>
        <rFont val="굴림"/>
        <family val="3"/>
      </rPr>
      <t>(문서번호 및 판매관리를 하고 있음)</t>
    </r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</si>
</sst>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_);[Red]\(0.00\)"/>
    <numFmt numFmtId="190" formatCode="0.000_);[Red]\(0.000\)"/>
    <numFmt numFmtId="191" formatCode="0.0"/>
    <numFmt numFmtId="192" formatCode="0.0000000000"/>
    <numFmt numFmtId="193" formatCode="0.000000000"/>
    <numFmt numFmtId="194" formatCode="0.00000000"/>
    <numFmt numFmtId="195" formatCode="0.000000_);[Red]\(0.000000\)"/>
    <numFmt numFmtId="196" formatCode="0.000000000000000_);[Red]\(0.000000000000000\)"/>
    <numFmt numFmtId="197" formatCode="0.00000000000000_);[Red]\(0.00000000000000\)"/>
    <numFmt numFmtId="198" formatCode="0.0000000000000_);[Red]\(0.0000000000000\)"/>
    <numFmt numFmtId="199" formatCode="0.000000000000_);[Red]\(0.000000000000\)"/>
    <numFmt numFmtId="200" formatCode="0.00000000000_);[Red]\(0.00000000000\)"/>
    <numFmt numFmtId="201" formatCode="0.0000000000_);[Red]\(0.0000000000\)"/>
    <numFmt numFmtId="202" formatCode="0.000000000_);[Red]\(0.000000000\)"/>
    <numFmt numFmtId="203" formatCode="0.00000000_);[Red]\(0.00000000\)"/>
    <numFmt numFmtId="204" formatCode="0.0000000_);[Red]\(0.0000000\)"/>
    <numFmt numFmtId="205" formatCode="0.00000_);[Red]\(0.00000\)"/>
    <numFmt numFmtId="206" formatCode="0.0000_);[Red]\(0.0000\)"/>
    <numFmt numFmtId="207" formatCode="0.0000000000000000_);[Red]\(0.0000000000000000\)"/>
    <numFmt numFmtId="208" formatCode="0.0E+00"/>
    <numFmt numFmtId="209" formatCode="0E+00"/>
    <numFmt numFmtId="210" formatCode="0.000E+00"/>
    <numFmt numFmtId="211" formatCode="0.0_);[Red]\(0.0\)"/>
    <numFmt numFmtId="212" formatCode="0_ "/>
    <numFmt numFmtId="213" formatCode="0.0_ "/>
    <numFmt numFmtId="214" formatCode="mm&quot;월&quot;\ dd&quot;일&quot;"/>
    <numFmt numFmtId="215" formatCode="_ * #,##0.0_ ;_ * \-#,##0.0_ ;_ * &quot;-&quot;_ ;_ @_ "/>
    <numFmt numFmtId="216" formatCode="_ * #,##0.00_ ;_ * \-#,##0.00_ ;_ * &quot;-&quot;_ ;_ @_ "/>
    <numFmt numFmtId="217" formatCode="_ * #,##0.000_ ;_ * \-#,##0.000_ ;_ * &quot;-&quot;_ ;_ @_ "/>
    <numFmt numFmtId="218" formatCode="_ * #,##0.0000_ ;_ * \-#,##0.0000_ ;_ * &quot;-&quot;_ ;_ @_ "/>
    <numFmt numFmtId="219" formatCode="_ * #,##0.00000_ ;_ * \-#,##0.00000_ ;_ * &quot;-&quot;_ ;_ @_ "/>
    <numFmt numFmtId="220" formatCode="_-* #,##0.0_-;\-* #,##0.0_-;_-* &quot;-&quot;??_-;_-@_-"/>
    <numFmt numFmtId="221" formatCode="_-* #,##0_-;\-* #,##0_-;_-* &quot;-&quot;??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*10\+00"/>
    <numFmt numFmtId="226" formatCode="0.0E+00;&quot;&quot;"/>
    <numFmt numFmtId="227" formatCode="0.00E+00;&quot;&quot;"/>
    <numFmt numFmtId="228" formatCode="0.0E+00;&quot;찠&quot;"/>
    <numFmt numFmtId="229" formatCode="0.00000000000"/>
    <numFmt numFmtId="230" formatCode="0.000000000000"/>
  </numFmts>
  <fonts count="89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sz val="10"/>
      <color indexed="10"/>
      <name val="바탕체"/>
      <family val="1"/>
    </font>
    <font>
      <vertAlign val="superscript"/>
      <sz val="10"/>
      <name val="바탕체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12"/>
      <name val="굴림"/>
      <family val="3"/>
    </font>
    <font>
      <sz val="11"/>
      <name val="바탕"/>
      <family val="1"/>
    </font>
    <font>
      <vertAlign val="superscript"/>
      <sz val="11"/>
      <name val="바탕체"/>
      <family val="1"/>
    </font>
    <font>
      <sz val="11"/>
      <color indexed="12"/>
      <name val="바탕체"/>
      <family val="1"/>
    </font>
    <font>
      <b/>
      <sz val="11"/>
      <name val="바탕"/>
      <family val="1"/>
    </font>
    <font>
      <sz val="11"/>
      <color indexed="10"/>
      <name val="바탕"/>
      <family val="1"/>
    </font>
    <font>
      <sz val="11"/>
      <color indexed="12"/>
      <name val="바탕"/>
      <family val="1"/>
    </font>
    <font>
      <vertAlign val="superscript"/>
      <sz val="11"/>
      <color indexed="12"/>
      <name val="바탕"/>
      <family val="1"/>
    </font>
    <font>
      <u val="single"/>
      <sz val="11"/>
      <name val="바탕체"/>
      <family val="1"/>
    </font>
    <font>
      <sz val="11"/>
      <name val="굴림"/>
      <family val="3"/>
    </font>
    <font>
      <b/>
      <sz val="11"/>
      <color indexed="12"/>
      <name val="굴림"/>
      <family val="3"/>
    </font>
    <font>
      <b/>
      <sz val="11"/>
      <color indexed="12"/>
      <name val="바탕"/>
      <family val="1"/>
    </font>
    <font>
      <b/>
      <vertAlign val="superscript"/>
      <sz val="11"/>
      <color indexed="12"/>
      <name val="바탕"/>
      <family val="1"/>
    </font>
    <font>
      <b/>
      <vertAlign val="subscript"/>
      <sz val="11"/>
      <color indexed="12"/>
      <name val="바탕"/>
      <family val="1"/>
    </font>
    <font>
      <b/>
      <sz val="14"/>
      <color indexed="12"/>
      <name val="바탕"/>
      <family val="1"/>
    </font>
    <font>
      <u val="single"/>
      <sz val="11"/>
      <name val="굴림"/>
      <family val="3"/>
    </font>
    <font>
      <u val="single"/>
      <sz val="11"/>
      <name val="바탕"/>
      <family val="1"/>
    </font>
    <font>
      <vertAlign val="subscript"/>
      <sz val="11"/>
      <name val="바탕체"/>
      <family val="1"/>
    </font>
    <font>
      <b/>
      <sz val="8"/>
      <color indexed="12"/>
      <name val="바탕"/>
      <family val="1"/>
    </font>
    <font>
      <vertAlign val="subscript"/>
      <sz val="12"/>
      <name val="바탕"/>
      <family val="1"/>
    </font>
    <font>
      <vertAlign val="subscript"/>
      <sz val="12"/>
      <name val="바탕체"/>
      <family val="1"/>
    </font>
    <font>
      <b/>
      <vertAlign val="subscript"/>
      <sz val="12"/>
      <color indexed="12"/>
      <name val="바탕"/>
      <family val="1"/>
    </font>
    <font>
      <sz val="11"/>
      <name val="굴림체"/>
      <family val="3"/>
    </font>
    <font>
      <sz val="18"/>
      <name val="HY견고딕"/>
      <family val="1"/>
    </font>
    <font>
      <sz val="9"/>
      <name val="굴림"/>
      <family val="3"/>
    </font>
    <font>
      <u val="single"/>
      <sz val="18"/>
      <name val="HY견고딕"/>
      <family val="1"/>
    </font>
    <font>
      <sz val="10"/>
      <name val="굴림"/>
      <family val="3"/>
    </font>
    <font>
      <b/>
      <sz val="14"/>
      <name val="굴림"/>
      <family val="3"/>
    </font>
    <font>
      <b/>
      <sz val="14"/>
      <name val="바탕"/>
      <family val="1"/>
    </font>
    <font>
      <sz val="9"/>
      <color indexed="12"/>
      <name val="굴림"/>
      <family val="3"/>
    </font>
    <font>
      <b/>
      <sz val="13"/>
      <name val="굴림"/>
      <family val="3"/>
    </font>
    <font>
      <b/>
      <sz val="13"/>
      <name val="바탕"/>
      <family val="1"/>
    </font>
    <font>
      <sz val="13"/>
      <color indexed="12"/>
      <name val="굴림"/>
      <family val="3"/>
    </font>
    <font>
      <b/>
      <sz val="11"/>
      <name val="바탕체"/>
      <family val="1"/>
    </font>
    <font>
      <sz val="10"/>
      <color indexed="12"/>
      <name val="굴림"/>
      <family val="3"/>
    </font>
    <font>
      <b/>
      <sz val="11"/>
      <name val="굴림"/>
      <family val="3"/>
    </font>
    <font>
      <sz val="9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1"/>
      <color indexed="12"/>
      <name val="굴림"/>
      <family val="3"/>
    </font>
    <font>
      <sz val="10"/>
      <color indexed="8"/>
      <name val="바탕체"/>
      <family val="1"/>
    </font>
    <font>
      <sz val="11"/>
      <color indexed="8"/>
      <name val="바탕체"/>
      <family val="1"/>
    </font>
    <font>
      <u val="single"/>
      <sz val="11"/>
      <color indexed="8"/>
      <name val="바탕체"/>
      <family val="1"/>
    </font>
    <font>
      <sz val="10"/>
      <color indexed="8"/>
      <name val="굴림"/>
      <family val="3"/>
    </font>
    <font>
      <sz val="11"/>
      <color indexed="8"/>
      <name val="바탕"/>
      <family val="1"/>
    </font>
    <font>
      <sz val="11"/>
      <color indexed="8"/>
      <name val="굴림"/>
      <family val="3"/>
    </font>
    <font>
      <b/>
      <u val="single"/>
      <sz val="10"/>
      <color indexed="1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86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quotePrefix="1">
      <alignment vertical="center"/>
    </xf>
    <xf numFmtId="185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191" fontId="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1" fontId="2" fillId="0" borderId="0" xfId="0" applyNumberFormat="1" applyFont="1" applyBorder="1" applyAlignment="1">
      <alignment horizontal="left" vertical="center"/>
    </xf>
    <xf numFmtId="186" fontId="2" fillId="0" borderId="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210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horizontal="left" vertical="center"/>
    </xf>
    <xf numFmtId="186" fontId="2" fillId="0" borderId="11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7" fontId="2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12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32" fillId="0" borderId="0" xfId="64">
      <alignment/>
      <protection/>
    </xf>
    <xf numFmtId="0" fontId="32" fillId="0" borderId="12" xfId="64" applyBorder="1">
      <alignment/>
      <protection/>
    </xf>
    <xf numFmtId="0" fontId="32" fillId="0" borderId="13" xfId="64" applyBorder="1">
      <alignment/>
      <protection/>
    </xf>
    <xf numFmtId="0" fontId="32" fillId="0" borderId="14" xfId="64" applyBorder="1">
      <alignment/>
      <protection/>
    </xf>
    <xf numFmtId="0" fontId="32" fillId="0" borderId="15" xfId="64" applyBorder="1">
      <alignment/>
      <protection/>
    </xf>
    <xf numFmtId="0" fontId="32" fillId="0" borderId="0" xfId="64" applyBorder="1">
      <alignment/>
      <protection/>
    </xf>
    <xf numFmtId="0" fontId="32" fillId="0" borderId="11" xfId="64" applyBorder="1">
      <alignment/>
      <protection/>
    </xf>
    <xf numFmtId="0" fontId="19" fillId="0" borderId="0" xfId="64" applyFont="1" applyBorder="1">
      <alignment/>
      <protection/>
    </xf>
    <xf numFmtId="0" fontId="19" fillId="0" borderId="0" xfId="64" applyFont="1" applyFill="1" applyBorder="1">
      <alignment/>
      <protection/>
    </xf>
    <xf numFmtId="0" fontId="34" fillId="0" borderId="15" xfId="64" applyFont="1" applyBorder="1">
      <alignment/>
      <protection/>
    </xf>
    <xf numFmtId="0" fontId="34" fillId="0" borderId="0" xfId="64" applyFont="1" applyFill="1" applyBorder="1">
      <alignment/>
      <protection/>
    </xf>
    <xf numFmtId="0" fontId="32" fillId="0" borderId="16" xfId="64" applyBorder="1">
      <alignment/>
      <protection/>
    </xf>
    <xf numFmtId="0" fontId="19" fillId="0" borderId="10" xfId="64" applyFont="1" applyBorder="1">
      <alignment/>
      <protection/>
    </xf>
    <xf numFmtId="0" fontId="32" fillId="0" borderId="10" xfId="64" applyBorder="1">
      <alignment/>
      <protection/>
    </xf>
    <xf numFmtId="0" fontId="32" fillId="0" borderId="17" xfId="64" applyBorder="1">
      <alignment/>
      <protection/>
    </xf>
    <xf numFmtId="0" fontId="34" fillId="0" borderId="0" xfId="64" applyFont="1">
      <alignment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36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10" fillId="33" borderId="0" xfId="65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91" fontId="36" fillId="0" borderId="0" xfId="0" applyNumberFormat="1" applyFont="1" applyAlignment="1">
      <alignment horizontal="center" vertical="center"/>
    </xf>
    <xf numFmtId="185" fontId="36" fillId="0" borderId="0" xfId="0" applyNumberFormat="1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185" fontId="45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" fontId="7" fillId="0" borderId="0" xfId="0" applyNumberFormat="1" applyFont="1" applyAlignment="1">
      <alignment horizontal="left" vertical="center"/>
    </xf>
    <xf numFmtId="187" fontId="13" fillId="0" borderId="0" xfId="0" applyNumberFormat="1" applyFont="1" applyAlignment="1">
      <alignment horizontal="left" vertical="center"/>
    </xf>
    <xf numFmtId="191" fontId="2" fillId="0" borderId="0" xfId="0" applyNumberFormat="1" applyFont="1" applyAlignment="1" quotePrefix="1">
      <alignment horizontal="left" vertical="center"/>
    </xf>
    <xf numFmtId="186" fontId="2" fillId="0" borderId="0" xfId="0" applyNumberFormat="1" applyFont="1" applyAlignment="1" quotePrefix="1">
      <alignment horizontal="left" vertical="center"/>
    </xf>
    <xf numFmtId="186" fontId="43" fillId="0" borderId="0" xfId="0" applyNumberFormat="1" applyFont="1" applyAlignment="1" quotePrefix="1">
      <alignment horizontal="left" vertical="center"/>
    </xf>
    <xf numFmtId="191" fontId="43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  <xf numFmtId="186" fontId="43" fillId="0" borderId="0" xfId="0" applyNumberFormat="1" applyFont="1" applyAlignment="1">
      <alignment horizontal="left" vertical="center"/>
    </xf>
    <xf numFmtId="2" fontId="43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48" fontId="2" fillId="0" borderId="0" xfId="0" applyNumberFormat="1" applyFont="1" applyBorder="1" applyAlignment="1">
      <alignment horizontal="left" vertical="center"/>
    </xf>
    <xf numFmtId="187" fontId="2" fillId="0" borderId="0" xfId="0" applyNumberFormat="1" applyFont="1" applyBorder="1" applyAlignment="1">
      <alignment horizontal="left" vertical="center"/>
    </xf>
    <xf numFmtId="11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85" fontId="43" fillId="0" borderId="0" xfId="0" applyNumberFormat="1" applyFont="1" applyAlignment="1">
      <alignment horizontal="left" vertical="center"/>
    </xf>
    <xf numFmtId="0" fontId="2" fillId="0" borderId="15" xfId="0" applyFont="1" applyBorder="1" applyAlignment="1" quotePrefix="1">
      <alignment vertical="center"/>
    </xf>
    <xf numFmtId="0" fontId="2" fillId="0" borderId="16" xfId="0" applyFont="1" applyBorder="1" applyAlignment="1" quotePrefix="1">
      <alignment vertical="center"/>
    </xf>
    <xf numFmtId="186" fontId="2" fillId="0" borderId="14" xfId="0" applyNumberFormat="1" applyFont="1" applyBorder="1" applyAlignment="1">
      <alignment horizontal="left" vertical="center"/>
    </xf>
    <xf numFmtId="0" fontId="2" fillId="0" borderId="10" xfId="0" applyFont="1" applyBorder="1" applyAlignment="1" quotePrefix="1">
      <alignment vertical="center"/>
    </xf>
    <xf numFmtId="0" fontId="10" fillId="33" borderId="0" xfId="65" applyFont="1" applyFill="1" applyBorder="1" applyAlignment="1" applyProtection="1">
      <alignment vertical="center"/>
      <protection/>
    </xf>
    <xf numFmtId="0" fontId="35" fillId="33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0" borderId="15" xfId="64" applyFont="1" applyBorder="1" applyAlignment="1">
      <alignment horizontal="center"/>
      <protection/>
    </xf>
    <xf numFmtId="0" fontId="33" fillId="0" borderId="0" xfId="64" applyFont="1" applyBorder="1" applyAlignment="1">
      <alignment horizontal="center"/>
      <protection/>
    </xf>
    <xf numFmtId="0" fontId="33" fillId="0" borderId="11" xfId="64" applyFont="1" applyBorder="1" applyAlignment="1">
      <alignment horizont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강도계산" xfId="60"/>
    <cellStyle name="콤마_강도계산" xfId="61"/>
    <cellStyle name="Currency" xfId="62"/>
    <cellStyle name="Currency [0]" xfId="63"/>
    <cellStyle name="표준_배관규격자료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</xdr:row>
      <xdr:rowOff>238125</xdr:rowOff>
    </xdr:from>
    <xdr:to>
      <xdr:col>6</xdr:col>
      <xdr:colOff>2352675</xdr:colOff>
      <xdr:row>2</xdr:row>
      <xdr:rowOff>238125</xdr:rowOff>
    </xdr:to>
    <xdr:sp macro="[0]!계산정보">
      <xdr:nvSpPr>
        <xdr:cNvPr id="1" name="Text Box 5" descr="흰색 대리석"/>
        <xdr:cNvSpPr txBox="1">
          <a:spLocks noChangeArrowheads="1"/>
        </xdr:cNvSpPr>
      </xdr:nvSpPr>
      <xdr:spPr>
        <a:xfrm>
          <a:off x="5686425" y="2952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프로그램 정보</a:t>
          </a:r>
        </a:p>
      </xdr:txBody>
    </xdr:sp>
    <xdr:clientData fPrintsWithSheet="0"/>
  </xdr:twoCellAnchor>
  <xdr:twoCellAnchor>
    <xdr:from>
      <xdr:col>1</xdr:col>
      <xdr:colOff>171450</xdr:colOff>
      <xdr:row>4</xdr:row>
      <xdr:rowOff>209550</xdr:rowOff>
    </xdr:from>
    <xdr:to>
      <xdr:col>1</xdr:col>
      <xdr:colOff>1524000</xdr:colOff>
      <xdr:row>4</xdr:row>
      <xdr:rowOff>209550</xdr:rowOff>
    </xdr:to>
    <xdr:sp>
      <xdr:nvSpPr>
        <xdr:cNvPr id="2" name="Line 6"/>
        <xdr:cNvSpPr>
          <a:spLocks/>
        </xdr:cNvSpPr>
      </xdr:nvSpPr>
      <xdr:spPr>
        <a:xfrm>
          <a:off x="409575" y="87630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104775</xdr:colOff>
      <xdr:row>19</xdr:row>
      <xdr:rowOff>0</xdr:rowOff>
    </xdr:from>
    <xdr:to>
      <xdr:col>3</xdr:col>
      <xdr:colOff>1114425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342900" y="3714750"/>
          <a:ext cx="3457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209550</xdr:rowOff>
    </xdr:from>
    <xdr:to>
      <xdr:col>6</xdr:col>
      <xdr:colOff>1695450</xdr:colOff>
      <xdr:row>4</xdr:row>
      <xdr:rowOff>209550</xdr:rowOff>
    </xdr:to>
    <xdr:sp>
      <xdr:nvSpPr>
        <xdr:cNvPr id="4" name="Line 13"/>
        <xdr:cNvSpPr>
          <a:spLocks/>
        </xdr:cNvSpPr>
      </xdr:nvSpPr>
      <xdr:spPr>
        <a:xfrm>
          <a:off x="4733925" y="876300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0</xdr:rowOff>
    </xdr:from>
    <xdr:to>
      <xdr:col>6</xdr:col>
      <xdr:colOff>857250</xdr:colOff>
      <xdr:row>19</xdr:row>
      <xdr:rowOff>0</xdr:rowOff>
    </xdr:to>
    <xdr:sp>
      <xdr:nvSpPr>
        <xdr:cNvPr id="5" name="Line 15"/>
        <xdr:cNvSpPr>
          <a:spLocks/>
        </xdr:cNvSpPr>
      </xdr:nvSpPr>
      <xdr:spPr>
        <a:xfrm>
          <a:off x="4724400" y="37147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0</xdr:rowOff>
    </xdr:from>
    <xdr:to>
      <xdr:col>6</xdr:col>
      <xdr:colOff>1200150</xdr:colOff>
      <xdr:row>14</xdr:row>
      <xdr:rowOff>0</xdr:rowOff>
    </xdr:to>
    <xdr:sp>
      <xdr:nvSpPr>
        <xdr:cNvPr id="6" name="Line 16"/>
        <xdr:cNvSpPr>
          <a:spLocks/>
        </xdr:cNvSpPr>
      </xdr:nvSpPr>
      <xdr:spPr>
        <a:xfrm>
          <a:off x="4733925" y="2667000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twoCellAnchor editAs="oneCell">
    <xdr:from>
      <xdr:col>0</xdr:col>
      <xdr:colOff>104775</xdr:colOff>
      <xdr:row>4</xdr:row>
      <xdr:rowOff>0</xdr:rowOff>
    </xdr:from>
    <xdr:to>
      <xdr:col>0</xdr:col>
      <xdr:colOff>2943225</xdr:colOff>
      <xdr:row>10</xdr:row>
      <xdr:rowOff>228600</xdr:rowOff>
    </xdr:to>
    <xdr:pic>
      <xdr:nvPicPr>
        <xdr:cNvPr id="2" name="Picture 4" descr="reducer"/>
        <xdr:cNvPicPr preferRelativeResize="1">
          <a:picLocks noChangeAspect="1"/>
        </xdr:cNvPicPr>
      </xdr:nvPicPr>
      <xdr:blipFill>
        <a:blip r:embed="rId1"/>
        <a:srcRect r="5751"/>
        <a:stretch>
          <a:fillRect/>
        </a:stretch>
      </xdr:blipFill>
      <xdr:spPr>
        <a:xfrm>
          <a:off x="104775" y="847725"/>
          <a:ext cx="28384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28575</xdr:rowOff>
    </xdr:from>
    <xdr:to>
      <xdr:col>6</xdr:col>
      <xdr:colOff>66675</xdr:colOff>
      <xdr:row>7</xdr:row>
      <xdr:rowOff>28575</xdr:rowOff>
    </xdr:to>
    <xdr:sp>
      <xdr:nvSpPr>
        <xdr:cNvPr id="3" name="Line 13"/>
        <xdr:cNvSpPr>
          <a:spLocks/>
        </xdr:cNvSpPr>
      </xdr:nvSpPr>
      <xdr:spPr>
        <a:xfrm>
          <a:off x="3505200" y="1619250"/>
          <a:ext cx="1600200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24</xdr:row>
      <xdr:rowOff>0</xdr:rowOff>
    </xdr:from>
    <xdr:to>
      <xdr:col>0</xdr:col>
      <xdr:colOff>2933700</xdr:colOff>
      <xdr:row>31</xdr:row>
      <xdr:rowOff>142875</xdr:rowOff>
    </xdr:to>
    <xdr:pic>
      <xdr:nvPicPr>
        <xdr:cNvPr id="4" name="Picture 15" descr="원뿔"/>
        <xdr:cNvPicPr preferRelativeResize="1">
          <a:picLocks noChangeAspect="1"/>
        </xdr:cNvPicPr>
      </xdr:nvPicPr>
      <xdr:blipFill>
        <a:blip r:embed="rId2"/>
        <a:srcRect r="3630" b="5366"/>
        <a:stretch>
          <a:fillRect/>
        </a:stretch>
      </xdr:blipFill>
      <xdr:spPr>
        <a:xfrm>
          <a:off x="104775" y="5514975"/>
          <a:ext cx="28289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27</xdr:row>
      <xdr:rowOff>28575</xdr:rowOff>
    </xdr:from>
    <xdr:to>
      <xdr:col>4</xdr:col>
      <xdr:colOff>38100</xdr:colOff>
      <xdr:row>27</xdr:row>
      <xdr:rowOff>28575</xdr:rowOff>
    </xdr:to>
    <xdr:sp>
      <xdr:nvSpPr>
        <xdr:cNvPr id="5" name="Line 19"/>
        <xdr:cNvSpPr>
          <a:spLocks/>
        </xdr:cNvSpPr>
      </xdr:nvSpPr>
      <xdr:spPr>
        <a:xfrm>
          <a:off x="3457575" y="6286500"/>
          <a:ext cx="1047750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180975</xdr:rowOff>
    </xdr:from>
    <xdr:ext cx="6496050" cy="0"/>
    <xdr:sp>
      <xdr:nvSpPr>
        <xdr:cNvPr id="6" name="Line 20"/>
        <xdr:cNvSpPr>
          <a:spLocks/>
        </xdr:cNvSpPr>
      </xdr:nvSpPr>
      <xdr:spPr>
        <a:xfrm flipV="1">
          <a:off x="0" y="92678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106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absolute">
    <xdr:from>
      <xdr:col>0</xdr:col>
      <xdr:colOff>152400</xdr:colOff>
      <xdr:row>15</xdr:row>
      <xdr:rowOff>104775</xdr:rowOff>
    </xdr:from>
    <xdr:to>
      <xdr:col>0</xdr:col>
      <xdr:colOff>2486025</xdr:colOff>
      <xdr:row>19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52400" y="3400425"/>
          <a:ext cx="2333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# </a:t>
          </a:r>
          <a:r>
            <a:rPr lang="en-US" cap="none" sz="1100" b="0" i="0" u="sng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Specific Gravity (Sg)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Carbon Steel         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7.85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Stainless Steel (304)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7.93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Stainless Steel (316)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7.98</a:t>
          </a:r>
        </a:p>
      </xdr:txBody>
    </xdr:sp>
    <xdr:clientData fPrintsWithSheet="0"/>
  </xdr:twoCellAnchor>
  <xdr:twoCellAnchor editAs="oneCell">
    <xdr:from>
      <xdr:col>0</xdr:col>
      <xdr:colOff>104775</xdr:colOff>
      <xdr:row>4</xdr:row>
      <xdr:rowOff>0</xdr:rowOff>
    </xdr:from>
    <xdr:to>
      <xdr:col>0</xdr:col>
      <xdr:colOff>2457450</xdr:colOff>
      <xdr:row>10</xdr:row>
      <xdr:rowOff>76200</xdr:rowOff>
    </xdr:to>
    <xdr:pic>
      <xdr:nvPicPr>
        <xdr:cNvPr id="4" name="Picture 7" descr="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47725"/>
          <a:ext cx="2352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</xdr:row>
      <xdr:rowOff>0</xdr:rowOff>
    </xdr:from>
    <xdr:to>
      <xdr:col>0</xdr:col>
      <xdr:colOff>2657475</xdr:colOff>
      <xdr:row>29</xdr:row>
      <xdr:rowOff>123825</xdr:rowOff>
    </xdr:to>
    <xdr:pic>
      <xdr:nvPicPr>
        <xdr:cNvPr id="5" name="Picture 8" descr="pipe1"/>
        <xdr:cNvPicPr preferRelativeResize="1">
          <a:picLocks noChangeAspect="1"/>
        </xdr:cNvPicPr>
      </xdr:nvPicPr>
      <xdr:blipFill>
        <a:blip r:embed="rId2"/>
        <a:srcRect l="381"/>
        <a:stretch>
          <a:fillRect/>
        </a:stretch>
      </xdr:blipFill>
      <xdr:spPr>
        <a:xfrm>
          <a:off x="171450" y="548640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345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absolute">
    <xdr:from>
      <xdr:col>0</xdr:col>
      <xdr:colOff>152400</xdr:colOff>
      <xdr:row>14</xdr:row>
      <xdr:rowOff>219075</xdr:rowOff>
    </xdr:from>
    <xdr:to>
      <xdr:col>0</xdr:col>
      <xdr:colOff>2486025</xdr:colOff>
      <xdr:row>18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3390900"/>
          <a:ext cx="23336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# </a:t>
          </a:r>
          <a:r>
            <a:rPr lang="en-US" cap="none" sz="1100" b="0" i="0" u="sng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Specific Gravity (Sg)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Carbon Steel         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7.85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Stainless Steel (304)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7.93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Stainless Steel (316)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7.98</a:t>
          </a:r>
        </a:p>
      </xdr:txBody>
    </xdr:sp>
    <xdr:clientData fPrintsWithSheet="0"/>
  </xdr:twoCellAnchor>
  <xdr:twoCellAnchor editAs="oneCell">
    <xdr:from>
      <xdr:col>0</xdr:col>
      <xdr:colOff>228600</xdr:colOff>
      <xdr:row>26</xdr:row>
      <xdr:rowOff>0</xdr:rowOff>
    </xdr:from>
    <xdr:to>
      <xdr:col>0</xdr:col>
      <xdr:colOff>2085975</xdr:colOff>
      <xdr:row>34</xdr:row>
      <xdr:rowOff>142875</xdr:rowOff>
    </xdr:to>
    <xdr:pic>
      <xdr:nvPicPr>
        <xdr:cNvPr id="4" name="Picture 7" descr="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857875"/>
          <a:ext cx="1857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</xdr:row>
      <xdr:rowOff>0</xdr:rowOff>
    </xdr:from>
    <xdr:to>
      <xdr:col>0</xdr:col>
      <xdr:colOff>2895600</xdr:colOff>
      <xdr:row>11</xdr:row>
      <xdr:rowOff>85725</xdr:rowOff>
    </xdr:to>
    <xdr:pic>
      <xdr:nvPicPr>
        <xdr:cNvPr id="5" name="Picture 8" descr="reducer1"/>
        <xdr:cNvPicPr preferRelativeResize="1">
          <a:picLocks noChangeAspect="1"/>
        </xdr:cNvPicPr>
      </xdr:nvPicPr>
      <xdr:blipFill>
        <a:blip r:embed="rId2"/>
        <a:srcRect l="677"/>
        <a:stretch>
          <a:fillRect/>
        </a:stretch>
      </xdr:blipFill>
      <xdr:spPr>
        <a:xfrm>
          <a:off x="104775" y="847725"/>
          <a:ext cx="2790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40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297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absolute">
    <xdr:from>
      <xdr:col>0</xdr:col>
      <xdr:colOff>152400</xdr:colOff>
      <xdr:row>12</xdr:row>
      <xdr:rowOff>161925</xdr:rowOff>
    </xdr:from>
    <xdr:to>
      <xdr:col>0</xdr:col>
      <xdr:colOff>2486025</xdr:colOff>
      <xdr:row>15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2838450"/>
          <a:ext cx="2333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# </a:t>
          </a:r>
          <a:r>
            <a:rPr lang="en-US" cap="none" sz="1100" b="0" i="0" u="sng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Specific Gravity (Sg)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Carbon Steel         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7.85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Stainless Steel (304)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7.93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Stainless Steel (316) : </a:t>
          </a:r>
          <a:r>
            <a:rPr lang="en-US" cap="none" sz="1100" b="0" i="0" u="none" baseline="0">
              <a:solidFill>
                <a:srgbClr val="0000FF"/>
              </a:solidFill>
              <a:latin typeface="바탕체"/>
              <a:ea typeface="바탕체"/>
              <a:cs typeface="바탕체"/>
            </a:rPr>
            <a:t>7.98</a:t>
          </a:r>
        </a:p>
      </xdr:txBody>
    </xdr:sp>
    <xdr:clientData fPrintsWithSheet="0"/>
  </xdr:twoCellAnchor>
  <xdr:twoCellAnchor editAs="oneCell">
    <xdr:from>
      <xdr:col>0</xdr:col>
      <xdr:colOff>133350</xdr:colOff>
      <xdr:row>4</xdr:row>
      <xdr:rowOff>0</xdr:rowOff>
    </xdr:from>
    <xdr:to>
      <xdr:col>0</xdr:col>
      <xdr:colOff>2247900</xdr:colOff>
      <xdr:row>8</xdr:row>
      <xdr:rowOff>219075</xdr:rowOff>
    </xdr:to>
    <xdr:pic>
      <xdr:nvPicPr>
        <xdr:cNvPr id="4" name="Picture 8" descr="환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2114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0</xdr:rowOff>
    </xdr:from>
    <xdr:to>
      <xdr:col>0</xdr:col>
      <xdr:colOff>2295525</xdr:colOff>
      <xdr:row>32</xdr:row>
      <xdr:rowOff>28575</xdr:rowOff>
    </xdr:to>
    <xdr:pic>
      <xdr:nvPicPr>
        <xdr:cNvPr id="5" name="Picture 9" descr="원판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010150"/>
          <a:ext cx="20764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361950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72100" y="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249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4</xdr:row>
      <xdr:rowOff>0</xdr:rowOff>
    </xdr:from>
    <xdr:to>
      <xdr:col>13</xdr:col>
      <xdr:colOff>19050</xdr:colOff>
      <xdr:row>6</xdr:row>
      <xdr:rowOff>209550</xdr:rowOff>
    </xdr:to>
    <xdr:pic>
      <xdr:nvPicPr>
        <xdr:cNvPr id="3" name="Picture 7" descr="유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77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361950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72100" y="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249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1</xdr:col>
      <xdr:colOff>438150</xdr:colOff>
      <xdr:row>8</xdr:row>
      <xdr:rowOff>47625</xdr:rowOff>
    </xdr:from>
    <xdr:to>
      <xdr:col>4</xdr:col>
      <xdr:colOff>171450</xdr:colOff>
      <xdr:row>8</xdr:row>
      <xdr:rowOff>47625</xdr:rowOff>
    </xdr:to>
    <xdr:sp>
      <xdr:nvSpPr>
        <xdr:cNvPr id="3" name="Line 5"/>
        <xdr:cNvSpPr>
          <a:spLocks/>
        </xdr:cNvSpPr>
      </xdr:nvSpPr>
      <xdr:spPr>
        <a:xfrm flipV="1">
          <a:off x="723900" y="1733550"/>
          <a:ext cx="1181100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19050</xdr:colOff>
      <xdr:row>6</xdr:row>
      <xdr:rowOff>209550</xdr:rowOff>
    </xdr:to>
    <xdr:pic>
      <xdr:nvPicPr>
        <xdr:cNvPr id="4" name="Picture 10" descr="유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77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361950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72100" y="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249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4</xdr:row>
      <xdr:rowOff>0</xdr:rowOff>
    </xdr:from>
    <xdr:to>
      <xdr:col>13</xdr:col>
      <xdr:colOff>19050</xdr:colOff>
      <xdr:row>6</xdr:row>
      <xdr:rowOff>209550</xdr:rowOff>
    </xdr:to>
    <xdr:pic>
      <xdr:nvPicPr>
        <xdr:cNvPr id="3" name="Picture 6" descr="유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77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361950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72100" y="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249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361950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72100" y="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249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361950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72100" y="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868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40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726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180975</xdr:colOff>
      <xdr:row>4</xdr:row>
      <xdr:rowOff>0</xdr:rowOff>
    </xdr:from>
    <xdr:to>
      <xdr:col>0</xdr:col>
      <xdr:colOff>2733675</xdr:colOff>
      <xdr:row>15</xdr:row>
      <xdr:rowOff>19050</xdr:rowOff>
    </xdr:to>
    <xdr:pic>
      <xdr:nvPicPr>
        <xdr:cNvPr id="3" name="Picture 6" descr="삼각"/>
        <xdr:cNvPicPr preferRelativeResize="1">
          <a:picLocks noChangeAspect="1"/>
        </xdr:cNvPicPr>
      </xdr:nvPicPr>
      <xdr:blipFill>
        <a:blip r:embed="rId1"/>
        <a:srcRect l="1106"/>
        <a:stretch>
          <a:fillRect/>
        </a:stretch>
      </xdr:blipFill>
      <xdr:spPr>
        <a:xfrm>
          <a:off x="180975" y="847725"/>
          <a:ext cx="25527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0</xdr:rowOff>
    </xdr:from>
    <xdr:to>
      <xdr:col>0</xdr:col>
      <xdr:colOff>2705100</xdr:colOff>
      <xdr:row>31</xdr:row>
      <xdr:rowOff>57150</xdr:rowOff>
    </xdr:to>
    <xdr:pic>
      <xdr:nvPicPr>
        <xdr:cNvPr id="4" name="Picture 8" descr="삼각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72025"/>
          <a:ext cx="2543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13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4933950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1916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219075</xdr:colOff>
      <xdr:row>3</xdr:row>
      <xdr:rowOff>114300</xdr:rowOff>
    </xdr:from>
    <xdr:to>
      <xdr:col>5</xdr:col>
      <xdr:colOff>9525</xdr:colOff>
      <xdr:row>16</xdr:row>
      <xdr:rowOff>104775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rcRect l="11073" t="4934" r="38452" b="5468"/>
        <a:stretch>
          <a:fillRect/>
        </a:stretch>
      </xdr:blipFill>
      <xdr:spPr>
        <a:xfrm>
          <a:off x="219075" y="857250"/>
          <a:ext cx="2124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6</xdr:row>
      <xdr:rowOff>171450</xdr:rowOff>
    </xdr:from>
    <xdr:to>
      <xdr:col>3</xdr:col>
      <xdr:colOff>533400</xdr:colOff>
      <xdr:row>7</xdr:row>
      <xdr:rowOff>152400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1162050" y="15811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Φ</a:t>
          </a:r>
          <a:r>
            <a:rPr lang="en-US" cap="none" sz="10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D</a:t>
          </a:r>
        </a:p>
      </xdr:txBody>
    </xdr:sp>
    <xdr:clientData/>
  </xdr:twoCellAnchor>
  <xdr:twoCellAnchor>
    <xdr:from>
      <xdr:col>3</xdr:col>
      <xdr:colOff>47625</xdr:colOff>
      <xdr:row>15</xdr:row>
      <xdr:rowOff>57150</xdr:rowOff>
    </xdr:from>
    <xdr:to>
      <xdr:col>3</xdr:col>
      <xdr:colOff>447675</xdr:colOff>
      <xdr:row>16</xdr:row>
      <xdr:rowOff>104775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1076325" y="3390900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4</xdr:col>
      <xdr:colOff>123825</xdr:colOff>
      <xdr:row>5</xdr:row>
      <xdr:rowOff>57150</xdr:rowOff>
    </xdr:from>
    <xdr:to>
      <xdr:col>5</xdr:col>
      <xdr:colOff>257175</xdr:colOff>
      <xdr:row>5</xdr:row>
      <xdr:rowOff>57150</xdr:rowOff>
    </xdr:to>
    <xdr:sp>
      <xdr:nvSpPr>
        <xdr:cNvPr id="6" name="Line 16"/>
        <xdr:cNvSpPr>
          <a:spLocks/>
        </xdr:cNvSpPr>
      </xdr:nvSpPr>
      <xdr:spPr>
        <a:xfrm>
          <a:off x="1857375" y="1219200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66675</xdr:rowOff>
    </xdr:from>
    <xdr:to>
      <xdr:col>5</xdr:col>
      <xdr:colOff>190500</xdr:colOff>
      <xdr:row>13</xdr:row>
      <xdr:rowOff>9525</xdr:rowOff>
    </xdr:to>
    <xdr:sp>
      <xdr:nvSpPr>
        <xdr:cNvPr id="7" name="Line 17"/>
        <xdr:cNvSpPr>
          <a:spLocks/>
        </xdr:cNvSpPr>
      </xdr:nvSpPr>
      <xdr:spPr>
        <a:xfrm>
          <a:off x="2524125" y="1228725"/>
          <a:ext cx="0" cy="1771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9525</xdr:rowOff>
    </xdr:from>
    <xdr:to>
      <xdr:col>5</xdr:col>
      <xdr:colOff>238125</xdr:colOff>
      <xdr:row>13</xdr:row>
      <xdr:rowOff>9525</xdr:rowOff>
    </xdr:to>
    <xdr:sp>
      <xdr:nvSpPr>
        <xdr:cNvPr id="8" name="Line 18"/>
        <xdr:cNvSpPr>
          <a:spLocks/>
        </xdr:cNvSpPr>
      </xdr:nvSpPr>
      <xdr:spPr>
        <a:xfrm>
          <a:off x="1838325" y="3000375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552450</xdr:colOff>
      <xdr:row>8</xdr:row>
      <xdr:rowOff>76200</xdr:rowOff>
    </xdr:from>
    <xdr:to>
      <xdr:col>5</xdr:col>
      <xdr:colOff>276225</xdr:colOff>
      <xdr:row>9</xdr:row>
      <xdr:rowOff>123825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2286000" y="19812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5</xdr:col>
      <xdr:colOff>171450</xdr:colOff>
      <xdr:row>5</xdr:row>
      <xdr:rowOff>57150</xdr:rowOff>
    </xdr:from>
    <xdr:to>
      <xdr:col>5</xdr:col>
      <xdr:colOff>190500</xdr:colOff>
      <xdr:row>5</xdr:row>
      <xdr:rowOff>152400</xdr:rowOff>
    </xdr:to>
    <xdr:sp>
      <xdr:nvSpPr>
        <xdr:cNvPr id="10" name="Line 20"/>
        <xdr:cNvSpPr>
          <a:spLocks/>
        </xdr:cNvSpPr>
      </xdr:nvSpPr>
      <xdr:spPr>
        <a:xfrm flipH="1">
          <a:off x="2505075" y="1219200"/>
          <a:ext cx="190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57150</xdr:rowOff>
    </xdr:from>
    <xdr:to>
      <xdr:col>5</xdr:col>
      <xdr:colOff>209550</xdr:colOff>
      <xdr:row>5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2524125" y="1219200"/>
          <a:ext cx="190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171450</xdr:colOff>
      <xdr:row>12</xdr:row>
      <xdr:rowOff>161925</xdr:rowOff>
    </xdr:from>
    <xdr:to>
      <xdr:col>5</xdr:col>
      <xdr:colOff>190500</xdr:colOff>
      <xdr:row>13</xdr:row>
      <xdr:rowOff>9525</xdr:rowOff>
    </xdr:to>
    <xdr:sp>
      <xdr:nvSpPr>
        <xdr:cNvPr id="12" name="Line 23"/>
        <xdr:cNvSpPr>
          <a:spLocks/>
        </xdr:cNvSpPr>
      </xdr:nvSpPr>
      <xdr:spPr>
        <a:xfrm>
          <a:off x="2505075" y="2905125"/>
          <a:ext cx="190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161925</xdr:rowOff>
    </xdr:from>
    <xdr:to>
      <xdr:col>5</xdr:col>
      <xdr:colOff>209550</xdr:colOff>
      <xdr:row>13</xdr:row>
      <xdr:rowOff>9525</xdr:rowOff>
    </xdr:to>
    <xdr:sp>
      <xdr:nvSpPr>
        <xdr:cNvPr id="13" name="Line 24"/>
        <xdr:cNvSpPr>
          <a:spLocks/>
        </xdr:cNvSpPr>
      </xdr:nvSpPr>
      <xdr:spPr>
        <a:xfrm flipH="1">
          <a:off x="2524125" y="2905125"/>
          <a:ext cx="190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13</xdr:col>
      <xdr:colOff>266700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494347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39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1154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absolute">
    <xdr:from>
      <xdr:col>9</xdr:col>
      <xdr:colOff>428625</xdr:colOff>
      <xdr:row>21</xdr:row>
      <xdr:rowOff>47625</xdr:rowOff>
    </xdr:from>
    <xdr:to>
      <xdr:col>13</xdr:col>
      <xdr:colOff>685800</xdr:colOff>
      <xdr:row>22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48225" y="4714875"/>
          <a:ext cx="1676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바탕"/>
              <a:ea typeface="바탕"/>
              <a:cs typeface="바탕"/>
            </a:rPr>
            <a:t> → </a:t>
          </a:r>
          <a:r>
            <a:rPr lang="en-US" cap="none" sz="10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분수 형태로 기입
</a:t>
          </a:r>
          <a:r>
            <a:rPr lang="en-US" cap="none" sz="10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ex) 1 1/2 , 3/4,..</a:t>
          </a:r>
        </a:p>
      </xdr:txBody>
    </xdr:sp>
    <xdr:clientData fPrintsWithSheet="0"/>
  </xdr:twoCellAnchor>
  <xdr:twoCellAnchor editAs="oneCell">
    <xdr:from>
      <xdr:col>0</xdr:col>
      <xdr:colOff>47625</xdr:colOff>
      <xdr:row>4</xdr:row>
      <xdr:rowOff>0</xdr:rowOff>
    </xdr:from>
    <xdr:to>
      <xdr:col>4</xdr:col>
      <xdr:colOff>561975</xdr:colOff>
      <xdr:row>13</xdr:row>
      <xdr:rowOff>190500</xdr:rowOff>
    </xdr:to>
    <xdr:pic>
      <xdr:nvPicPr>
        <xdr:cNvPr id="4" name="Picture 5" descr="볼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4400"/>
          <a:ext cx="2247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13</xdr:col>
      <xdr:colOff>266700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494347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38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964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4</xdr:row>
      <xdr:rowOff>0</xdr:rowOff>
    </xdr:from>
    <xdr:to>
      <xdr:col>4</xdr:col>
      <xdr:colOff>200025</xdr:colOff>
      <xdr:row>10</xdr:row>
      <xdr:rowOff>123825</xdr:rowOff>
    </xdr:to>
    <xdr:pic>
      <xdr:nvPicPr>
        <xdr:cNvPr id="3" name="Picture 6" descr="볼트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14400"/>
          <a:ext cx="180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12</xdr:col>
      <xdr:colOff>266700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4552950" y="0"/>
          <a:ext cx="1285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41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39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3</xdr:col>
      <xdr:colOff>695325</xdr:colOff>
      <xdr:row>26</xdr:row>
      <xdr:rowOff>0</xdr:rowOff>
    </xdr:from>
    <xdr:to>
      <xdr:col>7</xdr:col>
      <xdr:colOff>285750</xdr:colOff>
      <xdr:row>27</xdr:row>
      <xdr:rowOff>0</xdr:rowOff>
    </xdr:to>
    <xdr:sp>
      <xdr:nvSpPr>
        <xdr:cNvPr id="3" name="Text Box 6" descr="흰색 대리석"/>
        <xdr:cNvSpPr txBox="1">
          <a:spLocks noChangeArrowheads="1"/>
        </xdr:cNvSpPr>
      </xdr:nvSpPr>
      <xdr:spPr>
        <a:xfrm>
          <a:off x="1724025" y="5743575"/>
          <a:ext cx="1600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(by Moody Curve)</a:t>
          </a:r>
        </a:p>
      </xdr:txBody>
    </xdr:sp>
    <xdr:clientData fPrintsWithSheet="0"/>
  </xdr:twoCellAnchor>
  <xdr:twoCellAnchor>
    <xdr:from>
      <xdr:col>3</xdr:col>
      <xdr:colOff>685800</xdr:colOff>
      <xdr:row>25</xdr:row>
      <xdr:rowOff>0</xdr:rowOff>
    </xdr:from>
    <xdr:to>
      <xdr:col>8</xdr:col>
      <xdr:colOff>476250</xdr:colOff>
      <xdr:row>26</xdr:row>
      <xdr:rowOff>0</xdr:rowOff>
    </xdr:to>
    <xdr:sp>
      <xdr:nvSpPr>
        <xdr:cNvPr id="4" name="Text Box 10" descr="흰색 대리석"/>
        <xdr:cNvSpPr txBox="1">
          <a:spLocks noChangeArrowheads="1"/>
        </xdr:cNvSpPr>
      </xdr:nvSpPr>
      <xdr:spPr>
        <a:xfrm>
          <a:off x="1714500" y="5495925"/>
          <a:ext cx="2085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일반 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Steel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용 강관의 경우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)</a:t>
          </a:r>
        </a:p>
      </xdr:txBody>
    </xdr:sp>
    <xdr:clientData fPrintsWithSheet="0"/>
  </xdr:twoCellAnchor>
  <xdr:twoCellAnchor editAs="oneCell">
    <xdr:from>
      <xdr:col>0</xdr:col>
      <xdr:colOff>238125</xdr:colOff>
      <xdr:row>4</xdr:row>
      <xdr:rowOff>0</xdr:rowOff>
    </xdr:from>
    <xdr:to>
      <xdr:col>6</xdr:col>
      <xdr:colOff>180975</xdr:colOff>
      <xdr:row>8</xdr:row>
      <xdr:rowOff>95250</xdr:rowOff>
    </xdr:to>
    <xdr:pic>
      <xdr:nvPicPr>
        <xdr:cNvPr id="5" name="Picture 11" descr="차압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14400"/>
          <a:ext cx="2695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13</xdr:col>
      <xdr:colOff>266700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4552950" y="0"/>
          <a:ext cx="2000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40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202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3</xdr:col>
      <xdr:colOff>695325</xdr:colOff>
      <xdr:row>29</xdr:row>
      <xdr:rowOff>0</xdr:rowOff>
    </xdr:from>
    <xdr:to>
      <xdr:col>8</xdr:col>
      <xdr:colOff>104775</xdr:colOff>
      <xdr:row>30</xdr:row>
      <xdr:rowOff>0</xdr:rowOff>
    </xdr:to>
    <xdr:sp>
      <xdr:nvSpPr>
        <xdr:cNvPr id="3" name="Text Box 4" descr="흰색 대리석"/>
        <xdr:cNvSpPr txBox="1">
          <a:spLocks noChangeArrowheads="1"/>
        </xdr:cNvSpPr>
      </xdr:nvSpPr>
      <xdr:spPr>
        <a:xfrm>
          <a:off x="1724025" y="6696075"/>
          <a:ext cx="1704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(by Moody Curve)</a:t>
          </a:r>
        </a:p>
      </xdr:txBody>
    </xdr:sp>
    <xdr:clientData fPrintsWithSheet="0"/>
  </xdr:twoCellAnchor>
  <xdr:twoCellAnchor editAs="oneCell">
    <xdr:from>
      <xdr:col>0</xdr:col>
      <xdr:colOff>219075</xdr:colOff>
      <xdr:row>3</xdr:row>
      <xdr:rowOff>28575</xdr:rowOff>
    </xdr:from>
    <xdr:to>
      <xdr:col>5</xdr:col>
      <xdr:colOff>257175</xdr:colOff>
      <xdr:row>15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rcRect l="11073" t="4934" r="38452" b="5468"/>
        <a:stretch>
          <a:fillRect/>
        </a:stretch>
      </xdr:blipFill>
      <xdr:spPr>
        <a:xfrm>
          <a:off x="219075" y="771525"/>
          <a:ext cx="2124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6</xdr:row>
      <xdr:rowOff>76200</xdr:rowOff>
    </xdr:from>
    <xdr:to>
      <xdr:col>3</xdr:col>
      <xdr:colOff>323850</xdr:colOff>
      <xdr:row>7</xdr:row>
      <xdr:rowOff>47625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4859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Φ</a:t>
          </a:r>
          <a:r>
            <a:rPr lang="en-US" cap="none" sz="10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D</a:t>
          </a:r>
        </a:p>
      </xdr:txBody>
    </xdr:sp>
    <xdr:clientData/>
  </xdr:twoCellAnchor>
  <xdr:twoCellAnchor>
    <xdr:from>
      <xdr:col>3</xdr:col>
      <xdr:colOff>28575</xdr:colOff>
      <xdr:row>14</xdr:row>
      <xdr:rowOff>152400</xdr:rowOff>
    </xdr:from>
    <xdr:to>
      <xdr:col>3</xdr:col>
      <xdr:colOff>428625</xdr:colOff>
      <xdr:row>15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057275" y="33528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3</xdr:col>
      <xdr:colOff>685800</xdr:colOff>
      <xdr:row>28</xdr:row>
      <xdr:rowOff>0</xdr:rowOff>
    </xdr:from>
    <xdr:to>
      <xdr:col>8</xdr:col>
      <xdr:colOff>476250</xdr:colOff>
      <xdr:row>29</xdr:row>
      <xdr:rowOff>0</xdr:rowOff>
    </xdr:to>
    <xdr:sp>
      <xdr:nvSpPr>
        <xdr:cNvPr id="7" name="Text Box 8" descr="흰색 대리석"/>
        <xdr:cNvSpPr txBox="1">
          <a:spLocks noChangeArrowheads="1"/>
        </xdr:cNvSpPr>
      </xdr:nvSpPr>
      <xdr:spPr>
        <a:xfrm>
          <a:off x="1714500" y="6448425"/>
          <a:ext cx="2085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일반 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Steel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용 강관의 경우</a:t>
          </a: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)</a:t>
          </a:r>
        </a:p>
      </xdr:txBody>
    </xdr:sp>
    <xdr:clientData fPrintsWithSheet="0"/>
  </xdr:twoCellAnchor>
  <xdr:twoCellAnchor>
    <xdr:from>
      <xdr:col>1</xdr:col>
      <xdr:colOff>304800</xdr:colOff>
      <xdr:row>7</xdr:row>
      <xdr:rowOff>161925</xdr:rowOff>
    </xdr:from>
    <xdr:to>
      <xdr:col>1</xdr:col>
      <xdr:colOff>304800</xdr:colOff>
      <xdr:row>10</xdr:row>
      <xdr:rowOff>28575</xdr:rowOff>
    </xdr:to>
    <xdr:sp>
      <xdr:nvSpPr>
        <xdr:cNvPr id="8" name="Line 9"/>
        <xdr:cNvSpPr>
          <a:spLocks/>
        </xdr:cNvSpPr>
      </xdr:nvSpPr>
      <xdr:spPr>
        <a:xfrm>
          <a:off x="590550" y="18192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171450</xdr:rowOff>
    </xdr:from>
    <xdr:to>
      <xdr:col>1</xdr:col>
      <xdr:colOff>352425</xdr:colOff>
      <xdr:row>9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28625" y="18288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Φ</a:t>
          </a:r>
          <a:r>
            <a:rPr lang="en-US" cap="none" sz="10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d</a:t>
          </a:r>
        </a:p>
      </xdr:txBody>
    </xdr:sp>
    <xdr:clientData/>
  </xdr:twoCellAnchor>
  <xdr:twoCellAnchor>
    <xdr:from>
      <xdr:col>1</xdr:col>
      <xdr:colOff>295275</xdr:colOff>
      <xdr:row>9</xdr:row>
      <xdr:rowOff>38100</xdr:rowOff>
    </xdr:from>
    <xdr:to>
      <xdr:col>1</xdr:col>
      <xdr:colOff>304800</xdr:colOff>
      <xdr:row>9</xdr:row>
      <xdr:rowOff>85725</xdr:rowOff>
    </xdr:to>
    <xdr:sp>
      <xdr:nvSpPr>
        <xdr:cNvPr id="10" name="Line 11"/>
        <xdr:cNvSpPr>
          <a:spLocks/>
        </xdr:cNvSpPr>
      </xdr:nvSpPr>
      <xdr:spPr>
        <a:xfrm flipH="1">
          <a:off x="581025" y="2190750"/>
          <a:ext cx="95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38100</xdr:rowOff>
    </xdr:from>
    <xdr:to>
      <xdr:col>1</xdr:col>
      <xdr:colOff>314325</xdr:colOff>
      <xdr:row>9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590550" y="2190750"/>
          <a:ext cx="95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295275</xdr:colOff>
      <xdr:row>9</xdr:row>
      <xdr:rowOff>219075</xdr:rowOff>
    </xdr:from>
    <xdr:to>
      <xdr:col>1</xdr:col>
      <xdr:colOff>304800</xdr:colOff>
      <xdr:row>10</xdr:row>
      <xdr:rowOff>28575</xdr:rowOff>
    </xdr:to>
    <xdr:sp>
      <xdr:nvSpPr>
        <xdr:cNvPr id="12" name="Line 14"/>
        <xdr:cNvSpPr>
          <a:spLocks/>
        </xdr:cNvSpPr>
      </xdr:nvSpPr>
      <xdr:spPr>
        <a:xfrm flipH="1" flipV="1">
          <a:off x="581025" y="2371725"/>
          <a:ext cx="952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219075</xdr:rowOff>
    </xdr:from>
    <xdr:to>
      <xdr:col>1</xdr:col>
      <xdr:colOff>314325</xdr:colOff>
      <xdr:row>10</xdr:row>
      <xdr:rowOff>28575</xdr:rowOff>
    </xdr:to>
    <xdr:sp>
      <xdr:nvSpPr>
        <xdr:cNvPr id="13" name="Line 15"/>
        <xdr:cNvSpPr>
          <a:spLocks/>
        </xdr:cNvSpPr>
      </xdr:nvSpPr>
      <xdr:spPr>
        <a:xfrm flipV="1">
          <a:off x="590550" y="2371725"/>
          <a:ext cx="952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2</xdr:row>
      <xdr:rowOff>209550</xdr:rowOff>
    </xdr:from>
    <xdr:to>
      <xdr:col>7</xdr:col>
      <xdr:colOff>971550</xdr:colOff>
      <xdr:row>3</xdr:row>
      <xdr:rowOff>209550</xdr:rowOff>
    </xdr:to>
    <xdr:sp macro="[0]!목차">
      <xdr:nvSpPr>
        <xdr:cNvPr id="1" name="Text Box 1"/>
        <xdr:cNvSpPr txBox="1">
          <a:spLocks noChangeArrowheads="1"/>
        </xdr:cNvSpPr>
      </xdr:nvSpPr>
      <xdr:spPr>
        <a:xfrm>
          <a:off x="5391150" y="7048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목   차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40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726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4</xdr:row>
      <xdr:rowOff>0</xdr:rowOff>
    </xdr:from>
    <xdr:to>
      <xdr:col>0</xdr:col>
      <xdr:colOff>2819400</xdr:colOff>
      <xdr:row>13</xdr:row>
      <xdr:rowOff>133350</xdr:rowOff>
    </xdr:to>
    <xdr:pic>
      <xdr:nvPicPr>
        <xdr:cNvPr id="3" name="Picture 6" descr="사다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47725"/>
          <a:ext cx="26670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0</xdr:rowOff>
    </xdr:from>
    <xdr:to>
      <xdr:col>0</xdr:col>
      <xdr:colOff>2009775</xdr:colOff>
      <xdr:row>28</xdr:row>
      <xdr:rowOff>9525</xdr:rowOff>
    </xdr:to>
    <xdr:pic>
      <xdr:nvPicPr>
        <xdr:cNvPr id="4" name="Picture 8" descr="circ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524375"/>
          <a:ext cx="1857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39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678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200025</xdr:colOff>
      <xdr:row>4</xdr:row>
      <xdr:rowOff>0</xdr:rowOff>
    </xdr:from>
    <xdr:to>
      <xdr:col>0</xdr:col>
      <xdr:colOff>2628900</xdr:colOff>
      <xdr:row>13</xdr:row>
      <xdr:rowOff>114300</xdr:rowOff>
    </xdr:to>
    <xdr:pic>
      <xdr:nvPicPr>
        <xdr:cNvPr id="3" name="Picture 6" descr="원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47725"/>
          <a:ext cx="24288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24</xdr:row>
      <xdr:rowOff>0</xdr:rowOff>
    </xdr:from>
    <xdr:to>
      <xdr:col>0</xdr:col>
      <xdr:colOff>2390775</xdr:colOff>
      <xdr:row>31</xdr:row>
      <xdr:rowOff>200025</xdr:rowOff>
    </xdr:to>
    <xdr:pic>
      <xdr:nvPicPr>
        <xdr:cNvPr id="4" name="Picture 7" descr="원호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514975"/>
          <a:ext cx="21812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24</xdr:row>
      <xdr:rowOff>133350</xdr:rowOff>
    </xdr:from>
    <xdr:to>
      <xdr:col>0</xdr:col>
      <xdr:colOff>1114425</xdr:colOff>
      <xdr:row>25</xdr:row>
      <xdr:rowOff>142875</xdr:rowOff>
    </xdr:to>
    <xdr:sp>
      <xdr:nvSpPr>
        <xdr:cNvPr id="5" name="Line 8"/>
        <xdr:cNvSpPr>
          <a:spLocks/>
        </xdr:cNvSpPr>
      </xdr:nvSpPr>
      <xdr:spPr>
        <a:xfrm>
          <a:off x="1114425" y="5648325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1095375</xdr:colOff>
      <xdr:row>24</xdr:row>
      <xdr:rowOff>133350</xdr:rowOff>
    </xdr:from>
    <xdr:to>
      <xdr:col>0</xdr:col>
      <xdr:colOff>1114425</xdr:colOff>
      <xdr:row>24</xdr:row>
      <xdr:rowOff>200025</xdr:rowOff>
    </xdr:to>
    <xdr:sp>
      <xdr:nvSpPr>
        <xdr:cNvPr id="6" name="Line 9"/>
        <xdr:cNvSpPr>
          <a:spLocks/>
        </xdr:cNvSpPr>
      </xdr:nvSpPr>
      <xdr:spPr>
        <a:xfrm flipH="1">
          <a:off x="1095375" y="5648325"/>
          <a:ext cx="190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1114425</xdr:colOff>
      <xdr:row>24</xdr:row>
      <xdr:rowOff>133350</xdr:rowOff>
    </xdr:from>
    <xdr:to>
      <xdr:col>0</xdr:col>
      <xdr:colOff>1133475</xdr:colOff>
      <xdr:row>24</xdr:row>
      <xdr:rowOff>200025</xdr:rowOff>
    </xdr:to>
    <xdr:sp>
      <xdr:nvSpPr>
        <xdr:cNvPr id="7" name="Line 10"/>
        <xdr:cNvSpPr>
          <a:spLocks/>
        </xdr:cNvSpPr>
      </xdr:nvSpPr>
      <xdr:spPr>
        <a:xfrm>
          <a:off x="1114425" y="5648325"/>
          <a:ext cx="190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1095375</xdr:colOff>
      <xdr:row>25</xdr:row>
      <xdr:rowOff>66675</xdr:rowOff>
    </xdr:from>
    <xdr:to>
      <xdr:col>0</xdr:col>
      <xdr:colOff>1114425</xdr:colOff>
      <xdr:row>25</xdr:row>
      <xdr:rowOff>142875</xdr:rowOff>
    </xdr:to>
    <xdr:sp>
      <xdr:nvSpPr>
        <xdr:cNvPr id="8" name="Line 11"/>
        <xdr:cNvSpPr>
          <a:spLocks/>
        </xdr:cNvSpPr>
      </xdr:nvSpPr>
      <xdr:spPr>
        <a:xfrm flipH="1" flipV="1">
          <a:off x="1095375" y="5829300"/>
          <a:ext cx="190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1114425</xdr:colOff>
      <xdr:row>25</xdr:row>
      <xdr:rowOff>66675</xdr:rowOff>
    </xdr:from>
    <xdr:to>
      <xdr:col>0</xdr:col>
      <xdr:colOff>1133475</xdr:colOff>
      <xdr:row>25</xdr:row>
      <xdr:rowOff>142875</xdr:rowOff>
    </xdr:to>
    <xdr:sp>
      <xdr:nvSpPr>
        <xdr:cNvPr id="9" name="Line 12"/>
        <xdr:cNvSpPr>
          <a:spLocks/>
        </xdr:cNvSpPr>
      </xdr:nvSpPr>
      <xdr:spPr>
        <a:xfrm flipV="1">
          <a:off x="1114425" y="5829300"/>
          <a:ext cx="190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914400</xdr:colOff>
      <xdr:row>24</xdr:row>
      <xdr:rowOff>123825</xdr:rowOff>
    </xdr:from>
    <xdr:to>
      <xdr:col>0</xdr:col>
      <xdr:colOff>1171575</xdr:colOff>
      <xdr:row>25</xdr:row>
      <xdr:rowOff>161925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14400" y="56388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2</xdr:col>
      <xdr:colOff>152400</xdr:colOff>
      <xdr:row>28</xdr:row>
      <xdr:rowOff>38100</xdr:rowOff>
    </xdr:from>
    <xdr:to>
      <xdr:col>3</xdr:col>
      <xdr:colOff>723900</xdr:colOff>
      <xdr:row>28</xdr:row>
      <xdr:rowOff>38100</xdr:rowOff>
    </xdr:to>
    <xdr:sp>
      <xdr:nvSpPr>
        <xdr:cNvPr id="11" name="Line 14"/>
        <xdr:cNvSpPr>
          <a:spLocks/>
        </xdr:cNvSpPr>
      </xdr:nvSpPr>
      <xdr:spPr>
        <a:xfrm>
          <a:off x="3581400" y="6543675"/>
          <a:ext cx="857250" cy="0"/>
        </a:xfrm>
        <a:prstGeom prst="line">
          <a:avLst/>
        </a:prstGeom>
        <a:noFill/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76200</xdr:colOff>
      <xdr:row>27</xdr:row>
      <xdr:rowOff>38100</xdr:rowOff>
    </xdr:from>
    <xdr:to>
      <xdr:col>4</xdr:col>
      <xdr:colOff>142875</xdr:colOff>
      <xdr:row>27</xdr:row>
      <xdr:rowOff>38100</xdr:rowOff>
    </xdr:to>
    <xdr:sp>
      <xdr:nvSpPr>
        <xdr:cNvPr id="12" name="Line 15"/>
        <xdr:cNvSpPr>
          <a:spLocks/>
        </xdr:cNvSpPr>
      </xdr:nvSpPr>
      <xdr:spPr>
        <a:xfrm>
          <a:off x="3790950" y="6296025"/>
          <a:ext cx="819150" cy="0"/>
        </a:xfrm>
        <a:prstGeom prst="line">
          <a:avLst/>
        </a:prstGeom>
        <a:noFill/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40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726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1</xdr:col>
      <xdr:colOff>428625</xdr:colOff>
      <xdr:row>8</xdr:row>
      <xdr:rowOff>38100</xdr:rowOff>
    </xdr:from>
    <xdr:to>
      <xdr:col>3</xdr:col>
      <xdr:colOff>619125</xdr:colOff>
      <xdr:row>8</xdr:row>
      <xdr:rowOff>38100</xdr:rowOff>
    </xdr:to>
    <xdr:sp>
      <xdr:nvSpPr>
        <xdr:cNvPr id="3" name="Line 7"/>
        <xdr:cNvSpPr>
          <a:spLocks/>
        </xdr:cNvSpPr>
      </xdr:nvSpPr>
      <xdr:spPr>
        <a:xfrm>
          <a:off x="3409950" y="1876425"/>
          <a:ext cx="923925" cy="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38100</xdr:rowOff>
    </xdr:from>
    <xdr:to>
      <xdr:col>3</xdr:col>
      <xdr:colOff>742950</xdr:colOff>
      <xdr:row>9</xdr:row>
      <xdr:rowOff>38100</xdr:rowOff>
    </xdr:to>
    <xdr:sp>
      <xdr:nvSpPr>
        <xdr:cNvPr id="4" name="Line 8"/>
        <xdr:cNvSpPr>
          <a:spLocks/>
        </xdr:cNvSpPr>
      </xdr:nvSpPr>
      <xdr:spPr>
        <a:xfrm>
          <a:off x="3724275" y="2124075"/>
          <a:ext cx="733425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38100</xdr:rowOff>
    </xdr:from>
    <xdr:to>
      <xdr:col>3</xdr:col>
      <xdr:colOff>619125</xdr:colOff>
      <xdr:row>10</xdr:row>
      <xdr:rowOff>38100</xdr:rowOff>
    </xdr:to>
    <xdr:sp>
      <xdr:nvSpPr>
        <xdr:cNvPr id="5" name="Line 9"/>
        <xdr:cNvSpPr>
          <a:spLocks/>
        </xdr:cNvSpPr>
      </xdr:nvSpPr>
      <xdr:spPr>
        <a:xfrm>
          <a:off x="3429000" y="2371725"/>
          <a:ext cx="904875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4</xdr:row>
      <xdr:rowOff>0</xdr:rowOff>
    </xdr:from>
    <xdr:to>
      <xdr:col>0</xdr:col>
      <xdr:colOff>2762250</xdr:colOff>
      <xdr:row>13</xdr:row>
      <xdr:rowOff>47625</xdr:rowOff>
    </xdr:to>
    <xdr:pic>
      <xdr:nvPicPr>
        <xdr:cNvPr id="6" name="Picture 10" descr="오각형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47725"/>
          <a:ext cx="26003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26</xdr:row>
      <xdr:rowOff>0</xdr:rowOff>
    </xdr:from>
    <xdr:to>
      <xdr:col>0</xdr:col>
      <xdr:colOff>2438400</xdr:colOff>
      <xdr:row>37</xdr:row>
      <xdr:rowOff>57150</xdr:rowOff>
    </xdr:to>
    <xdr:pic>
      <xdr:nvPicPr>
        <xdr:cNvPr id="7" name="Picture 11" descr="육각형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010275"/>
          <a:ext cx="22574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40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3726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4</xdr:row>
      <xdr:rowOff>0</xdr:rowOff>
    </xdr:from>
    <xdr:to>
      <xdr:col>0</xdr:col>
      <xdr:colOff>2800350</xdr:colOff>
      <xdr:row>10</xdr:row>
      <xdr:rowOff>219075</xdr:rowOff>
    </xdr:to>
    <xdr:pic>
      <xdr:nvPicPr>
        <xdr:cNvPr id="3" name="Picture 5" descr="ellip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7725"/>
          <a:ext cx="2724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0</xdr:rowOff>
    </xdr:from>
    <xdr:to>
      <xdr:col>0</xdr:col>
      <xdr:colOff>2952750</xdr:colOff>
      <xdr:row>30</xdr:row>
      <xdr:rowOff>123825</xdr:rowOff>
    </xdr:to>
    <xdr:pic>
      <xdr:nvPicPr>
        <xdr:cNvPr id="4" name="Picture 6" descr="ellip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019675"/>
          <a:ext cx="28765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38100</xdr:rowOff>
    </xdr:from>
    <xdr:to>
      <xdr:col>5</xdr:col>
      <xdr:colOff>152400</xdr:colOff>
      <xdr:row>7</xdr:row>
      <xdr:rowOff>38100</xdr:rowOff>
    </xdr:to>
    <xdr:sp>
      <xdr:nvSpPr>
        <xdr:cNvPr id="5" name="Line 7"/>
        <xdr:cNvSpPr>
          <a:spLocks/>
        </xdr:cNvSpPr>
      </xdr:nvSpPr>
      <xdr:spPr>
        <a:xfrm flipV="1">
          <a:off x="3714750" y="1628775"/>
          <a:ext cx="1190625" cy="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438150</xdr:colOff>
      <xdr:row>24</xdr:row>
      <xdr:rowOff>38100</xdr:rowOff>
    </xdr:from>
    <xdr:to>
      <xdr:col>5</xdr:col>
      <xdr:colOff>142875</xdr:colOff>
      <xdr:row>24</xdr:row>
      <xdr:rowOff>38100</xdr:rowOff>
    </xdr:to>
    <xdr:sp>
      <xdr:nvSpPr>
        <xdr:cNvPr id="6" name="Line 8"/>
        <xdr:cNvSpPr>
          <a:spLocks/>
        </xdr:cNvSpPr>
      </xdr:nvSpPr>
      <xdr:spPr>
        <a:xfrm flipV="1">
          <a:off x="3419475" y="5553075"/>
          <a:ext cx="1476375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38100</xdr:rowOff>
    </xdr:from>
    <xdr:to>
      <xdr:col>3</xdr:col>
      <xdr:colOff>466725</xdr:colOff>
      <xdr:row>25</xdr:row>
      <xdr:rowOff>38100</xdr:rowOff>
    </xdr:to>
    <xdr:sp>
      <xdr:nvSpPr>
        <xdr:cNvPr id="7" name="Line 9"/>
        <xdr:cNvSpPr>
          <a:spLocks/>
        </xdr:cNvSpPr>
      </xdr:nvSpPr>
      <xdr:spPr>
        <a:xfrm flipV="1">
          <a:off x="3409950" y="5800725"/>
          <a:ext cx="771525" cy="0"/>
        </a:xfrm>
        <a:prstGeom prst="line">
          <a:avLst/>
        </a:prstGeom>
        <a:noFill/>
        <a:ln w="762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39</xdr:row>
      <xdr:rowOff>180975</xdr:rowOff>
    </xdr:from>
    <xdr:ext cx="6496050" cy="0"/>
    <xdr:sp>
      <xdr:nvSpPr>
        <xdr:cNvPr id="2" name="Line 6"/>
        <xdr:cNvSpPr>
          <a:spLocks/>
        </xdr:cNvSpPr>
      </xdr:nvSpPr>
      <xdr:spPr>
        <a:xfrm flipV="1">
          <a:off x="0" y="92678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4</xdr:row>
      <xdr:rowOff>0</xdr:rowOff>
    </xdr:from>
    <xdr:to>
      <xdr:col>0</xdr:col>
      <xdr:colOff>2647950</xdr:colOff>
      <xdr:row>13</xdr:row>
      <xdr:rowOff>200025</xdr:rowOff>
    </xdr:to>
    <xdr:pic>
      <xdr:nvPicPr>
        <xdr:cNvPr id="3" name="Picture 7" descr="정육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47725"/>
          <a:ext cx="24955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0</xdr:rowOff>
    </xdr:from>
    <xdr:to>
      <xdr:col>0</xdr:col>
      <xdr:colOff>2695575</xdr:colOff>
      <xdr:row>26</xdr:row>
      <xdr:rowOff>142875</xdr:rowOff>
    </xdr:to>
    <xdr:pic>
      <xdr:nvPicPr>
        <xdr:cNvPr id="4" name="Picture 8" descr="직육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029075"/>
          <a:ext cx="25431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428625</xdr:colOff>
      <xdr:row>1</xdr:row>
      <xdr:rowOff>0</xdr:rowOff>
    </xdr:to>
    <xdr:sp macro="[0]!목차">
      <xdr:nvSpPr>
        <xdr:cNvPr id="1" name="Text Box 1" descr="흰색 대리석"/>
        <xdr:cNvSpPr txBox="1">
          <a:spLocks noChangeArrowheads="1"/>
        </xdr:cNvSpPr>
      </xdr:nvSpPr>
      <xdr:spPr>
        <a:xfrm>
          <a:off x="5343525" y="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oneCellAnchor>
    <xdr:from>
      <xdr:col>0</xdr:col>
      <xdr:colOff>0</xdr:colOff>
      <xdr:row>39</xdr:row>
      <xdr:rowOff>180975</xdr:rowOff>
    </xdr:from>
    <xdr:ext cx="6496050" cy="0"/>
    <xdr:sp>
      <xdr:nvSpPr>
        <xdr:cNvPr id="2" name="Line 2"/>
        <xdr:cNvSpPr>
          <a:spLocks/>
        </xdr:cNvSpPr>
      </xdr:nvSpPr>
      <xdr:spPr>
        <a:xfrm flipV="1">
          <a:off x="0" y="92678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4</xdr:row>
      <xdr:rowOff>0</xdr:rowOff>
    </xdr:from>
    <xdr:to>
      <xdr:col>0</xdr:col>
      <xdr:colOff>2009775</xdr:colOff>
      <xdr:row>12</xdr:row>
      <xdr:rowOff>9525</xdr:rowOff>
    </xdr:to>
    <xdr:pic>
      <xdr:nvPicPr>
        <xdr:cNvPr id="3" name="Picture 5" descr="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47725"/>
          <a:ext cx="1857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0</xdr:rowOff>
    </xdr:from>
    <xdr:to>
      <xdr:col>0</xdr:col>
      <xdr:colOff>2847975</xdr:colOff>
      <xdr:row>30</xdr:row>
      <xdr:rowOff>9525</xdr:rowOff>
    </xdr:to>
    <xdr:pic>
      <xdr:nvPicPr>
        <xdr:cNvPr id="4" name="Picture 7" descr="구형z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029075"/>
          <a:ext cx="26955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438150</xdr:colOff>
      <xdr:row>1</xdr:row>
      <xdr:rowOff>0</xdr:rowOff>
    </xdr:to>
    <xdr:sp macro="[0]!목차">
      <xdr:nvSpPr>
        <xdr:cNvPr id="1" name="Text Box 3" descr="흰색 대리석"/>
        <xdr:cNvSpPr txBox="1">
          <a:spLocks noChangeArrowheads="1"/>
        </xdr:cNvSpPr>
      </xdr:nvSpPr>
      <xdr:spPr>
        <a:xfrm>
          <a:off x="5343525" y="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굴림"/>
              <a:ea typeface="굴림"/>
              <a:cs typeface="굴림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굴림"/>
              <a:ea typeface="굴림"/>
              <a:cs typeface="굴림"/>
            </a:rPr>
            <a:t>목차로 이동</a:t>
          </a:r>
        </a:p>
      </xdr:txBody>
    </xdr:sp>
    <xdr:clientData fPrintsWithSheet="0"/>
  </xdr:twoCellAnchor>
  <xdr:twoCellAnchor editAs="oneCell">
    <xdr:from>
      <xdr:col>0</xdr:col>
      <xdr:colOff>142875</xdr:colOff>
      <xdr:row>4</xdr:row>
      <xdr:rowOff>104775</xdr:rowOff>
    </xdr:from>
    <xdr:to>
      <xdr:col>0</xdr:col>
      <xdr:colOff>2924175</xdr:colOff>
      <xdr:row>9</xdr:row>
      <xdr:rowOff>114300</xdr:rowOff>
    </xdr:to>
    <xdr:pic>
      <xdr:nvPicPr>
        <xdr:cNvPr id="2" name="Picture 6" descr="pipe"/>
        <xdr:cNvPicPr preferRelativeResize="1">
          <a:picLocks noChangeAspect="1"/>
        </xdr:cNvPicPr>
      </xdr:nvPicPr>
      <xdr:blipFill>
        <a:blip r:embed="rId1"/>
        <a:srcRect r="1683"/>
        <a:stretch>
          <a:fillRect/>
        </a:stretch>
      </xdr:blipFill>
      <xdr:spPr>
        <a:xfrm>
          <a:off x="142875" y="952500"/>
          <a:ext cx="2781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21</xdr:row>
      <xdr:rowOff>0</xdr:rowOff>
    </xdr:from>
    <xdr:to>
      <xdr:col>0</xdr:col>
      <xdr:colOff>2943225</xdr:colOff>
      <xdr:row>29</xdr:row>
      <xdr:rowOff>219075</xdr:rowOff>
    </xdr:to>
    <xdr:pic>
      <xdr:nvPicPr>
        <xdr:cNvPr id="3" name="Picture 9" descr="elb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772025"/>
          <a:ext cx="27908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39</xdr:row>
      <xdr:rowOff>180975</xdr:rowOff>
    </xdr:from>
    <xdr:ext cx="6496050" cy="0"/>
    <xdr:sp>
      <xdr:nvSpPr>
        <xdr:cNvPr id="4" name="Line 10"/>
        <xdr:cNvSpPr>
          <a:spLocks/>
        </xdr:cNvSpPr>
      </xdr:nvSpPr>
      <xdr:spPr>
        <a:xfrm flipV="1">
          <a:off x="0" y="92678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57"/>
  <sheetViews>
    <sheetView showGridLines="0" showRowColHeaders="0" tabSelected="1" zoomScale="93" zoomScaleNormal="93" zoomScalePageLayoutView="0" workbookViewId="0" topLeftCell="A1">
      <selection activeCell="B15" sqref="B15"/>
    </sheetView>
  </sheetViews>
  <sheetFormatPr defaultColWidth="8.88671875" defaultRowHeight="18.75" customHeight="1"/>
  <cols>
    <col min="1" max="1" width="2.77734375" style="34" customWidth="1"/>
    <col min="2" max="2" width="25.77734375" style="34" customWidth="1"/>
    <col min="3" max="3" width="2.77734375" style="34" customWidth="1"/>
    <col min="4" max="4" width="14.10546875" style="34" customWidth="1"/>
    <col min="5" max="5" width="4.4453125" style="34" customWidth="1"/>
    <col min="6" max="6" width="3.77734375" style="34" customWidth="1"/>
    <col min="7" max="7" width="31.21484375" style="34" customWidth="1"/>
    <col min="8" max="8" width="13.4453125" style="34" customWidth="1"/>
    <col min="9" max="16384" width="8.88671875" style="34" customWidth="1"/>
  </cols>
  <sheetData>
    <row r="1" spans="1:11" ht="4.5" customHeight="1">
      <c r="A1" s="85"/>
      <c r="B1" s="85"/>
      <c r="C1" s="85"/>
      <c r="D1" s="85"/>
      <c r="E1" s="85"/>
      <c r="F1" s="85"/>
      <c r="G1" s="85"/>
      <c r="H1" s="85"/>
      <c r="I1" s="86"/>
      <c r="J1" s="86"/>
      <c r="K1" s="86"/>
    </row>
    <row r="2" spans="1:11" ht="21.75" customHeight="1">
      <c r="A2" s="142" t="s">
        <v>109</v>
      </c>
      <c r="B2" s="142"/>
      <c r="C2" s="142"/>
      <c r="D2" s="142"/>
      <c r="E2" s="142"/>
      <c r="F2" s="142"/>
      <c r="G2" s="142"/>
      <c r="H2" s="88"/>
      <c r="I2" s="86"/>
      <c r="J2" s="86"/>
      <c r="K2" s="86"/>
    </row>
    <row r="3" spans="1:11" ht="21.75" customHeight="1">
      <c r="A3" s="87" t="s">
        <v>512</v>
      </c>
      <c r="B3" s="88"/>
      <c r="C3" s="88"/>
      <c r="D3" s="88"/>
      <c r="E3" s="88"/>
      <c r="F3" s="88"/>
      <c r="G3" s="88"/>
      <c r="H3" s="88"/>
      <c r="I3" s="86"/>
      <c r="J3" s="86"/>
      <c r="K3" s="86"/>
    </row>
    <row r="4" spans="1:11" ht="4.5" customHeight="1">
      <c r="A4" s="87"/>
      <c r="B4" s="85"/>
      <c r="C4" s="85"/>
      <c r="D4" s="85"/>
      <c r="E4" s="85"/>
      <c r="F4" s="85"/>
      <c r="G4" s="85"/>
      <c r="H4" s="85"/>
      <c r="I4" s="86"/>
      <c r="J4" s="86"/>
      <c r="K4" s="86"/>
    </row>
    <row r="5" spans="1:11" ht="18.75" customHeight="1">
      <c r="A5" s="93" t="s">
        <v>111</v>
      </c>
      <c r="B5" s="85"/>
      <c r="C5" s="85"/>
      <c r="D5" s="85"/>
      <c r="E5" s="85"/>
      <c r="F5" s="93" t="s">
        <v>112</v>
      </c>
      <c r="G5" s="92"/>
      <c r="H5" s="85"/>
      <c r="I5" s="86"/>
      <c r="J5" s="86"/>
      <c r="K5" s="86"/>
    </row>
    <row r="6" spans="1:11" ht="6.75" customHeight="1">
      <c r="A6" s="89"/>
      <c r="B6" s="85"/>
      <c r="C6" s="85"/>
      <c r="D6" s="85"/>
      <c r="E6" s="85"/>
      <c r="F6" s="89"/>
      <c r="G6" s="92"/>
      <c r="H6" s="85"/>
      <c r="I6" s="86"/>
      <c r="J6" s="86"/>
      <c r="K6" s="86"/>
    </row>
    <row r="7" spans="1:11" ht="16.5" customHeight="1">
      <c r="A7" s="85"/>
      <c r="B7" s="141" t="s">
        <v>513</v>
      </c>
      <c r="C7" s="141"/>
      <c r="D7" s="141"/>
      <c r="E7" s="91"/>
      <c r="F7" s="85"/>
      <c r="G7" s="91" t="s">
        <v>499</v>
      </c>
      <c r="H7" s="85"/>
      <c r="I7" s="86"/>
      <c r="J7" s="86"/>
      <c r="K7" s="86"/>
    </row>
    <row r="8" spans="1:11" ht="16.5" customHeight="1">
      <c r="A8" s="85"/>
      <c r="B8" s="141" t="s">
        <v>514</v>
      </c>
      <c r="C8" s="141"/>
      <c r="D8" s="141"/>
      <c r="E8" s="91"/>
      <c r="F8" s="85"/>
      <c r="G8" s="91" t="s">
        <v>526</v>
      </c>
      <c r="H8" s="85"/>
      <c r="I8" s="86"/>
      <c r="J8" s="86"/>
      <c r="K8" s="86"/>
    </row>
    <row r="9" spans="1:11" ht="16.5" customHeight="1">
      <c r="A9" s="85"/>
      <c r="B9" s="91" t="s">
        <v>515</v>
      </c>
      <c r="C9" s="91"/>
      <c r="D9" s="91"/>
      <c r="E9" s="91"/>
      <c r="F9" s="85"/>
      <c r="G9" s="91" t="s">
        <v>115</v>
      </c>
      <c r="H9" s="85"/>
      <c r="I9" s="86"/>
      <c r="J9" s="86"/>
      <c r="K9" s="86"/>
    </row>
    <row r="10" spans="1:11" ht="16.5" customHeight="1">
      <c r="A10" s="85"/>
      <c r="B10" s="91" t="s">
        <v>516</v>
      </c>
      <c r="C10" s="91"/>
      <c r="D10" s="91"/>
      <c r="E10" s="91"/>
      <c r="F10" s="85"/>
      <c r="G10" s="91" t="s">
        <v>496</v>
      </c>
      <c r="H10" s="85"/>
      <c r="I10" s="86"/>
      <c r="J10" s="86"/>
      <c r="K10" s="86"/>
    </row>
    <row r="11" spans="1:11" ht="16.5" customHeight="1">
      <c r="A11" s="85"/>
      <c r="B11" s="91" t="s">
        <v>517</v>
      </c>
      <c r="C11" s="91"/>
      <c r="D11" s="91"/>
      <c r="E11" s="91"/>
      <c r="F11" s="85"/>
      <c r="G11" s="91" t="s">
        <v>497</v>
      </c>
      <c r="H11" s="85"/>
      <c r="I11" s="86"/>
      <c r="J11" s="86"/>
      <c r="K11" s="86"/>
    </row>
    <row r="12" spans="1:11" ht="16.5" customHeight="1">
      <c r="A12" s="85"/>
      <c r="B12" s="141" t="s">
        <v>518</v>
      </c>
      <c r="C12" s="141"/>
      <c r="D12" s="141"/>
      <c r="E12" s="91"/>
      <c r="F12" s="85"/>
      <c r="G12" s="91" t="s">
        <v>498</v>
      </c>
      <c r="H12" s="85"/>
      <c r="I12" s="86"/>
      <c r="J12" s="86"/>
      <c r="K12" s="86"/>
    </row>
    <row r="13" spans="1:11" ht="16.5" customHeight="1">
      <c r="A13" s="85"/>
      <c r="B13" s="141" t="s">
        <v>519</v>
      </c>
      <c r="C13" s="141"/>
      <c r="D13" s="141"/>
      <c r="E13" s="91"/>
      <c r="F13" s="93"/>
      <c r="G13" s="95"/>
      <c r="H13" s="85"/>
      <c r="I13" s="86"/>
      <c r="J13" s="86"/>
      <c r="K13" s="86"/>
    </row>
    <row r="14" spans="1:11" ht="16.5" customHeight="1">
      <c r="A14" s="85"/>
      <c r="B14" s="141" t="s">
        <v>520</v>
      </c>
      <c r="C14" s="141"/>
      <c r="D14" s="85"/>
      <c r="E14" s="85"/>
      <c r="F14" s="93" t="s">
        <v>102</v>
      </c>
      <c r="G14" s="85"/>
      <c r="H14" s="85"/>
      <c r="I14" s="86"/>
      <c r="J14" s="86"/>
      <c r="K14" s="86"/>
    </row>
    <row r="15" spans="1:11" ht="16.5" customHeight="1">
      <c r="A15" s="85"/>
      <c r="B15" s="91" t="s">
        <v>521</v>
      </c>
      <c r="C15" s="85"/>
      <c r="D15" s="85"/>
      <c r="E15" s="85"/>
      <c r="F15" s="85"/>
      <c r="G15" s="141" t="s">
        <v>633</v>
      </c>
      <c r="H15" s="141"/>
      <c r="I15" s="86"/>
      <c r="J15" s="86"/>
      <c r="K15" s="86"/>
    </row>
    <row r="16" spans="1:11" ht="16.5" customHeight="1">
      <c r="A16" s="85"/>
      <c r="B16" s="91" t="s">
        <v>522</v>
      </c>
      <c r="C16" s="85"/>
      <c r="D16" s="85"/>
      <c r="E16" s="85"/>
      <c r="F16" s="85"/>
      <c r="G16" s="91" t="s">
        <v>110</v>
      </c>
      <c r="H16" s="85"/>
      <c r="I16" s="86"/>
      <c r="J16" s="86"/>
      <c r="K16" s="86"/>
    </row>
    <row r="17" spans="1:11" ht="16.5" customHeight="1">
      <c r="A17" s="85"/>
      <c r="B17" s="91"/>
      <c r="C17" s="85"/>
      <c r="D17" s="85"/>
      <c r="E17" s="85"/>
      <c r="F17" s="85"/>
      <c r="G17" s="91" t="s">
        <v>103</v>
      </c>
      <c r="H17" s="85"/>
      <c r="I17" s="86"/>
      <c r="J17" s="86"/>
      <c r="K17" s="86"/>
    </row>
    <row r="18" spans="1:11" ht="16.5" customHeight="1">
      <c r="A18" s="85"/>
      <c r="B18" s="91"/>
      <c r="C18" s="85"/>
      <c r="D18" s="85"/>
      <c r="E18" s="85"/>
      <c r="F18" s="85"/>
      <c r="G18" s="91"/>
      <c r="H18" s="85"/>
      <c r="I18" s="86"/>
      <c r="J18" s="86"/>
      <c r="K18" s="86"/>
    </row>
    <row r="19" spans="1:11" ht="16.5" customHeight="1">
      <c r="A19" s="94" t="s">
        <v>113</v>
      </c>
      <c r="B19" s="94"/>
      <c r="C19" s="94"/>
      <c r="D19" s="85"/>
      <c r="E19" s="85"/>
      <c r="F19" s="93" t="s">
        <v>101</v>
      </c>
      <c r="G19" s="91"/>
      <c r="H19" s="85"/>
      <c r="I19" s="86"/>
      <c r="J19" s="86"/>
      <c r="K19" s="86"/>
    </row>
    <row r="20" spans="1:11" ht="6.75" customHeight="1">
      <c r="A20" s="90"/>
      <c r="B20" s="90"/>
      <c r="C20" s="90"/>
      <c r="D20" s="85"/>
      <c r="E20" s="85"/>
      <c r="F20" s="85"/>
      <c r="G20" s="91"/>
      <c r="H20" s="85"/>
      <c r="I20" s="86"/>
      <c r="J20" s="86"/>
      <c r="K20" s="86"/>
    </row>
    <row r="21" spans="1:11" ht="16.5" customHeight="1">
      <c r="A21" s="85"/>
      <c r="B21" s="141" t="s">
        <v>500</v>
      </c>
      <c r="C21" s="141"/>
      <c r="D21" s="141"/>
      <c r="E21" s="91"/>
      <c r="F21" s="85"/>
      <c r="G21" s="91" t="s">
        <v>493</v>
      </c>
      <c r="H21" s="85"/>
      <c r="I21" s="86"/>
      <c r="J21" s="86"/>
      <c r="K21" s="86"/>
    </row>
    <row r="22" spans="1:11" ht="16.5" customHeight="1">
      <c r="A22" s="85"/>
      <c r="B22" s="141" t="s">
        <v>501</v>
      </c>
      <c r="C22" s="141"/>
      <c r="D22" s="141"/>
      <c r="E22" s="91"/>
      <c r="F22" s="85"/>
      <c r="G22" s="91" t="s">
        <v>494</v>
      </c>
      <c r="H22" s="85"/>
      <c r="I22" s="86"/>
      <c r="J22" s="86"/>
      <c r="K22" s="86"/>
    </row>
    <row r="23" spans="1:11" ht="16.5" customHeight="1">
      <c r="A23" s="85"/>
      <c r="B23" s="141" t="s">
        <v>502</v>
      </c>
      <c r="C23" s="141"/>
      <c r="D23" s="141"/>
      <c r="E23" s="91"/>
      <c r="F23" s="85"/>
      <c r="G23" s="91" t="s">
        <v>495</v>
      </c>
      <c r="H23" s="85"/>
      <c r="I23" s="86"/>
      <c r="J23" s="86"/>
      <c r="K23" s="86"/>
    </row>
    <row r="24" spans="1:11" ht="16.5" customHeight="1">
      <c r="A24" s="85"/>
      <c r="B24" s="141" t="s">
        <v>523</v>
      </c>
      <c r="C24" s="141"/>
      <c r="D24" s="141"/>
      <c r="E24" s="91"/>
      <c r="F24" s="85"/>
      <c r="G24" s="91" t="s">
        <v>108</v>
      </c>
      <c r="H24" s="85"/>
      <c r="I24" s="86"/>
      <c r="J24" s="86"/>
      <c r="K24" s="86"/>
    </row>
    <row r="25" spans="1:11" ht="16.5" customHeight="1">
      <c r="A25" s="85"/>
      <c r="B25" s="141" t="s">
        <v>504</v>
      </c>
      <c r="C25" s="141"/>
      <c r="D25" s="141"/>
      <c r="E25" s="91"/>
      <c r="F25" s="85"/>
      <c r="G25" s="91" t="s">
        <v>106</v>
      </c>
      <c r="H25" s="85"/>
      <c r="I25" s="86"/>
      <c r="J25" s="86"/>
      <c r="K25" s="86"/>
    </row>
    <row r="26" spans="1:11" ht="16.5" customHeight="1">
      <c r="A26" s="85"/>
      <c r="B26" s="141" t="s">
        <v>505</v>
      </c>
      <c r="C26" s="141"/>
      <c r="D26" s="141"/>
      <c r="E26" s="91"/>
      <c r="F26" s="91"/>
      <c r="G26" s="91" t="s">
        <v>107</v>
      </c>
      <c r="H26" s="85"/>
      <c r="I26" s="86"/>
      <c r="J26" s="86"/>
      <c r="K26" s="86"/>
    </row>
    <row r="27" spans="1:11" ht="16.5" customHeight="1">
      <c r="A27" s="85"/>
      <c r="B27" s="141" t="s">
        <v>506</v>
      </c>
      <c r="C27" s="141"/>
      <c r="D27" s="141"/>
      <c r="E27" s="91"/>
      <c r="F27" s="91"/>
      <c r="G27" s="141" t="s">
        <v>104</v>
      </c>
      <c r="H27" s="141"/>
      <c r="I27" s="86"/>
      <c r="J27" s="86"/>
      <c r="K27" s="86"/>
    </row>
    <row r="28" spans="1:11" ht="16.5" customHeight="1">
      <c r="A28" s="85"/>
      <c r="B28" s="141" t="s">
        <v>507</v>
      </c>
      <c r="C28" s="141"/>
      <c r="D28" s="141"/>
      <c r="E28" s="91"/>
      <c r="F28" s="91"/>
      <c r="G28" s="141" t="s">
        <v>105</v>
      </c>
      <c r="H28" s="141"/>
      <c r="I28" s="86"/>
      <c r="J28" s="86"/>
      <c r="K28" s="86"/>
    </row>
    <row r="29" spans="1:11" ht="16.5" customHeight="1">
      <c r="A29" s="85"/>
      <c r="B29" s="91"/>
      <c r="C29" s="85"/>
      <c r="D29" s="85"/>
      <c r="E29" s="85"/>
      <c r="F29" s="91"/>
      <c r="G29" s="141" t="s">
        <v>114</v>
      </c>
      <c r="H29" s="141"/>
      <c r="I29" s="86"/>
      <c r="J29" s="86"/>
      <c r="K29" s="86"/>
    </row>
    <row r="30" spans="1:11" ht="16.5" customHeight="1">
      <c r="A30" s="85"/>
      <c r="B30" s="91"/>
      <c r="C30" s="85"/>
      <c r="D30" s="85"/>
      <c r="E30" s="85"/>
      <c r="F30" s="85"/>
      <c r="G30" s="85"/>
      <c r="H30" s="85"/>
      <c r="I30" s="86"/>
      <c r="J30" s="86"/>
      <c r="K30" s="86"/>
    </row>
    <row r="31" spans="1:11" ht="18.75" customHeight="1">
      <c r="A31" s="85"/>
      <c r="B31" s="85"/>
      <c r="C31" s="85"/>
      <c r="D31" s="85"/>
      <c r="E31" s="85"/>
      <c r="F31" s="85"/>
      <c r="G31" s="85"/>
      <c r="H31" s="86"/>
      <c r="I31" s="86"/>
      <c r="J31" s="86"/>
      <c r="K31" s="86"/>
    </row>
    <row r="32" spans="1:11" ht="18.75" customHeight="1">
      <c r="A32" s="85"/>
      <c r="B32" s="85"/>
      <c r="C32" s="85"/>
      <c r="D32" s="85"/>
      <c r="E32" s="85"/>
      <c r="F32" s="85"/>
      <c r="G32" s="85"/>
      <c r="H32" s="86"/>
      <c r="I32" s="86"/>
      <c r="J32" s="86"/>
      <c r="K32" s="86"/>
    </row>
    <row r="33" spans="1:11" ht="18.75" customHeight="1">
      <c r="A33" s="85"/>
      <c r="B33" s="85"/>
      <c r="C33" s="85"/>
      <c r="D33" s="85"/>
      <c r="E33" s="85"/>
      <c r="F33" s="85"/>
      <c r="G33" s="85"/>
      <c r="H33" s="85"/>
      <c r="I33" s="86"/>
      <c r="J33" s="86"/>
      <c r="K33" s="86"/>
    </row>
    <row r="34" spans="1:11" ht="18.75" customHeight="1">
      <c r="A34" s="86"/>
      <c r="B34" s="86"/>
      <c r="C34" s="85"/>
      <c r="D34" s="91"/>
      <c r="E34" s="91"/>
      <c r="F34" s="91"/>
      <c r="G34" s="85"/>
      <c r="H34" s="86"/>
      <c r="I34" s="86"/>
      <c r="J34" s="86"/>
      <c r="K34" s="86"/>
    </row>
    <row r="35" spans="1:11" ht="18.75" customHeight="1">
      <c r="A35" s="86"/>
      <c r="B35" s="86"/>
      <c r="C35" s="85"/>
      <c r="D35" s="91"/>
      <c r="E35" s="91"/>
      <c r="F35" s="91"/>
      <c r="G35" s="85"/>
      <c r="H35" s="86"/>
      <c r="I35" s="86"/>
      <c r="J35" s="86"/>
      <c r="K35" s="86"/>
    </row>
    <row r="36" spans="1:11" ht="18.75" customHeight="1">
      <c r="A36" s="86"/>
      <c r="B36" s="86"/>
      <c r="C36" s="85"/>
      <c r="D36" s="91"/>
      <c r="E36" s="91"/>
      <c r="F36" s="91"/>
      <c r="G36" s="85"/>
      <c r="H36" s="86"/>
      <c r="I36" s="86"/>
      <c r="J36" s="86"/>
      <c r="K36" s="86"/>
    </row>
    <row r="37" spans="1:11" ht="18.75" customHeight="1">
      <c r="A37" s="86"/>
      <c r="B37" s="86"/>
      <c r="C37" s="85"/>
      <c r="D37" s="91"/>
      <c r="E37" s="91"/>
      <c r="F37" s="91"/>
      <c r="G37" s="85"/>
      <c r="H37" s="86"/>
      <c r="I37" s="86"/>
      <c r="J37" s="86"/>
      <c r="K37" s="86"/>
    </row>
    <row r="38" spans="1:11" ht="18.75" customHeight="1">
      <c r="A38" s="86"/>
      <c r="B38" s="86"/>
      <c r="C38" s="85"/>
      <c r="D38" s="91"/>
      <c r="E38" s="91"/>
      <c r="F38" s="91"/>
      <c r="G38" s="85"/>
      <c r="H38" s="86"/>
      <c r="I38" s="86"/>
      <c r="J38" s="86"/>
      <c r="K38" s="86"/>
    </row>
    <row r="39" spans="1:11" ht="18.75" customHeight="1">
      <c r="A39" s="86"/>
      <c r="B39" s="86"/>
      <c r="C39" s="85"/>
      <c r="D39" s="141"/>
      <c r="E39" s="141"/>
      <c r="F39" s="141"/>
      <c r="G39" s="141"/>
      <c r="H39" s="86"/>
      <c r="I39" s="86"/>
      <c r="J39" s="86"/>
      <c r="K39" s="86"/>
    </row>
    <row r="40" spans="1:11" ht="18.75" customHeight="1">
      <c r="A40" s="86"/>
      <c r="B40" s="86"/>
      <c r="C40" s="86"/>
      <c r="D40" s="91"/>
      <c r="E40" s="91"/>
      <c r="F40" s="91"/>
      <c r="G40" s="86"/>
      <c r="H40" s="86"/>
      <c r="I40" s="86"/>
      <c r="J40" s="86"/>
      <c r="K40" s="86"/>
    </row>
    <row r="41" spans="1:11" ht="18.75" customHeight="1">
      <c r="A41" s="86"/>
      <c r="B41" s="86"/>
      <c r="C41" s="86"/>
      <c r="D41" s="91"/>
      <c r="E41" s="91"/>
      <c r="F41" s="91"/>
      <c r="G41" s="86"/>
      <c r="H41" s="86"/>
      <c r="I41" s="86"/>
      <c r="J41" s="86"/>
      <c r="K41" s="86"/>
    </row>
    <row r="42" spans="1:11" ht="18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8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8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8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18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8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8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8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ht="18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18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ht="18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8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18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1" ht="18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8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8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</row>
  </sheetData>
  <sheetProtection/>
  <mergeCells count="19">
    <mergeCell ref="G15:H15"/>
    <mergeCell ref="B7:D7"/>
    <mergeCell ref="B8:D8"/>
    <mergeCell ref="A2:G2"/>
    <mergeCell ref="B14:C14"/>
    <mergeCell ref="B12:D12"/>
    <mergeCell ref="B13:D13"/>
    <mergeCell ref="B27:D27"/>
    <mergeCell ref="B28:D28"/>
    <mergeCell ref="G29:H29"/>
    <mergeCell ref="G27:H27"/>
    <mergeCell ref="G28:H28"/>
    <mergeCell ref="D39:G39"/>
    <mergeCell ref="B21:D21"/>
    <mergeCell ref="B22:D22"/>
    <mergeCell ref="B23:D23"/>
    <mergeCell ref="B24:D24"/>
    <mergeCell ref="B25:D25"/>
    <mergeCell ref="B26:D26"/>
  </mergeCells>
  <hyperlinks>
    <hyperlink ref="B7" location="'면적-삼각'!A2" display="1. RIGHT TRIANGLE WITH 45˚ ANGLE"/>
    <hyperlink ref="B9" location="'면적-사각'!A2" display="3. TRAPEZOID"/>
    <hyperlink ref="B11" location="'면적-원호'!A2" display="5. CIRCULAR SECTOR"/>
    <hyperlink ref="B13" location="'면적-다각형'!A2" display="7. REGULAR POLYGON"/>
    <hyperlink ref="B15" location="'면적-Ellips'!A2" display="9. ELLIPS 1"/>
    <hyperlink ref="B16" location="'면적-Ellips'!H29" display="19. ELLIPS 2"/>
    <hyperlink ref="B14" location="'면적-다각형'!H33" display="17. REGULAR HEXAGON"/>
    <hyperlink ref="B12" location="'면적-원호'!H31" display="15. CIRCULAR SEGMENT"/>
    <hyperlink ref="B10" location="'면적-사각'!H27" display="13. CIRCLE"/>
    <hyperlink ref="B8" location="'면적-삼각'!H28" display="11. EQUILATERAL TRIANGLE"/>
    <hyperlink ref="B28" location="'볼륨-Reducer'!H32" display="8. CONE"/>
    <hyperlink ref="B27" location="'볼륨-Reducer'!A2" display="7. CONCENTRIC REDUCER"/>
    <hyperlink ref="B26" location="'볼륨-Pipe&amp;Cylinder'!H28" display="6. ELBOW"/>
    <hyperlink ref="B25" location="'볼륨-Pipe&amp;Cylinder'!A2" display="5. PIPE &amp; CYLINDER"/>
    <hyperlink ref="B24" location="'볼륨-구형'!H25" display="4. SQUARE PRISM"/>
    <hyperlink ref="B23" location="'볼륨-구형'!A2" display="3. SPHERE"/>
    <hyperlink ref="B22" location="'볼륨-육각'!H25" display="2. SQUARE PRISM"/>
    <hyperlink ref="B21" location="'볼륨-육각'!A2" display="1. CUBE"/>
    <hyperlink ref="G7" location="'무게-사각&amp;원'!A2" display="1. PLATE (사각판)"/>
    <hyperlink ref="G8" location="'무게-사각&amp;원'!H35" display="2. PIPE &amp; CYLINDER"/>
    <hyperlink ref="G10" location="'무게-Cone'!H34" display="4. SPHERE (구형)"/>
    <hyperlink ref="G9" location="'무게-Cone'!A2" display="3. CONE (원뿔)"/>
    <hyperlink ref="G12" location="'무게-환봉'!H30" display="6. ROUND PLATE (원형판)"/>
    <hyperlink ref="G11" location="'무게-환봉'!A2" display="5. ROUND BAR (환봉)"/>
    <hyperlink ref="G15" location="압력용기!H23" display="  7. TH'K for SHELL &amp; 2:1 HEAD (압력용기 두께계산)"/>
    <hyperlink ref="G16" location="압력용기!H35" display="2. VOLUME (체적)"/>
    <hyperlink ref="G17" location="'차압-압력용기'!I19" display="3. PRESSURE LOSS (압력손실)"/>
    <hyperlink ref="G21" location="유량!H13" display="1. FLOW RATE (유량)"/>
    <hyperlink ref="G27" location="'차압-압력용기'!I19" display="3. PRESSURE LOSS (압력손실)"/>
    <hyperlink ref="G28" location="'차압-배관'!I17" display="9. PRESSURE LOSS (압력손실)"/>
    <hyperlink ref="G29" location="유속!H13" display="3. VELOCITY (유속)"/>
    <hyperlink ref="G23" location="유속!H13" display="3. VELOCITY (유속)"/>
    <hyperlink ref="G22" location="배관지름!H13" display="2. PIPE INSIDE DIA. (내경)"/>
    <hyperlink ref="G27:H27" location="'볼트길이-STUD'!I21" display="7. STUD BOLT LENGTH (고장력 볼트 길이)"/>
    <hyperlink ref="G28:H28" location="'볼트길이-HEX'!I15" display="8. HEX BOLT LENGTH (육각볼트 길이)"/>
    <hyperlink ref="G29:H29" location="'차압-배관'!I17" display="9. PRESSURE LOSS for PIPE (배관 압력손실)"/>
    <hyperlink ref="G24" location="밀도!H13" display="4. DENSITY (밀도)"/>
    <hyperlink ref="G25" location="점도!H13" display="5. VISCOSITY (점도)"/>
    <hyperlink ref="G26" location="동점도!H13" display="6. KINEMATIC VISCOSITY (동점도)"/>
  </hyperlinks>
  <printOptions/>
  <pageMargins left="0.35" right="0.17" top="1.31" bottom="0.38" header="0.5" footer="0.22"/>
  <pageSetup horizontalDpi="300" verticalDpi="3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I39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143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145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123</v>
      </c>
    </row>
    <row r="6" ht="19.5" customHeight="1">
      <c r="B6" s="22" t="s">
        <v>124</v>
      </c>
    </row>
    <row r="7" ht="19.5" customHeight="1">
      <c r="B7" s="38" t="s">
        <v>280</v>
      </c>
    </row>
    <row r="8" ht="19.5" customHeight="1">
      <c r="B8" s="38" t="s">
        <v>282</v>
      </c>
    </row>
    <row r="9" ht="19.5" customHeight="1">
      <c r="B9" s="38" t="s">
        <v>281</v>
      </c>
    </row>
    <row r="11" ht="19.5" customHeight="1">
      <c r="B11" s="1" t="s">
        <v>144</v>
      </c>
    </row>
    <row r="12" spans="2:9" s="1" customFormat="1" ht="19.5" customHeight="1">
      <c r="B12" s="11" t="s">
        <v>136</v>
      </c>
      <c r="C12" s="11"/>
      <c r="D12" s="25"/>
      <c r="E12" s="25"/>
      <c r="F12" s="25" t="s">
        <v>42</v>
      </c>
      <c r="G12" s="11" t="s">
        <v>120</v>
      </c>
      <c r="H12" s="13">
        <v>508</v>
      </c>
      <c r="I12" s="1" t="s">
        <v>119</v>
      </c>
    </row>
    <row r="13" spans="2:9" s="1" customFormat="1" ht="19.5" customHeight="1">
      <c r="B13" s="11" t="s">
        <v>137</v>
      </c>
      <c r="C13" s="11"/>
      <c r="D13" s="25"/>
      <c r="E13" s="25"/>
      <c r="F13" s="25" t="s">
        <v>43</v>
      </c>
      <c r="G13" s="11"/>
      <c r="H13" s="13">
        <v>477.8</v>
      </c>
      <c r="I13" s="1" t="s">
        <v>119</v>
      </c>
    </row>
    <row r="14" spans="2:9" s="1" customFormat="1" ht="19.5" customHeight="1">
      <c r="B14" s="11" t="s">
        <v>136</v>
      </c>
      <c r="C14" s="11"/>
      <c r="D14" s="25"/>
      <c r="E14" s="25"/>
      <c r="F14" s="25" t="s">
        <v>44</v>
      </c>
      <c r="G14" s="11"/>
      <c r="H14" s="13">
        <v>355.6</v>
      </c>
      <c r="I14" s="1" t="s">
        <v>119</v>
      </c>
    </row>
    <row r="15" spans="2:9" s="1" customFormat="1" ht="19.5" customHeight="1">
      <c r="B15" s="11" t="s">
        <v>137</v>
      </c>
      <c r="C15" s="11"/>
      <c r="D15" s="25"/>
      <c r="E15" s="25"/>
      <c r="F15" s="25" t="s">
        <v>45</v>
      </c>
      <c r="G15" s="11"/>
      <c r="H15" s="13">
        <v>333.4</v>
      </c>
      <c r="I15" s="1" t="s">
        <v>119</v>
      </c>
    </row>
    <row r="16" spans="2:9" s="1" customFormat="1" ht="19.5" customHeight="1">
      <c r="B16" s="11" t="s">
        <v>138</v>
      </c>
      <c r="C16" s="11"/>
      <c r="D16" s="25"/>
      <c r="E16" s="25"/>
      <c r="F16" s="25" t="s">
        <v>192</v>
      </c>
      <c r="G16" s="11" t="s">
        <v>120</v>
      </c>
      <c r="H16" s="13">
        <v>508</v>
      </c>
      <c r="I16" s="1" t="s">
        <v>119</v>
      </c>
    </row>
    <row r="17" spans="1:4" s="1" customFormat="1" ht="8.25" customHeight="1">
      <c r="A17" s="14"/>
      <c r="B17" s="14"/>
      <c r="D17" s="25"/>
    </row>
    <row r="18" spans="2:5" s="1" customFormat="1" ht="19.5" customHeight="1">
      <c r="B18" s="11" t="s">
        <v>139</v>
      </c>
      <c r="C18" s="1" t="s">
        <v>120</v>
      </c>
      <c r="D18" s="127">
        <f>3.141592654*H16*(H13^2+(H13*H15)+H15^2)*10^-9/12</f>
        <v>0.06633039227659832</v>
      </c>
      <c r="E18" s="1" t="s">
        <v>131</v>
      </c>
    </row>
    <row r="19" spans="2:5" s="1" customFormat="1" ht="19.5" customHeight="1">
      <c r="B19" s="11" t="s">
        <v>182</v>
      </c>
      <c r="C19" s="1" t="s">
        <v>120</v>
      </c>
      <c r="D19" s="31">
        <f>(((H12-H14)/2)^2+H16^2)^0.5</f>
        <v>513.6832097703798</v>
      </c>
      <c r="E19" s="1" t="s">
        <v>119</v>
      </c>
    </row>
    <row r="20" spans="2:5" s="1" customFormat="1" ht="19.5" customHeight="1">
      <c r="B20" s="1" t="s">
        <v>140</v>
      </c>
      <c r="C20" s="1" t="s">
        <v>120</v>
      </c>
      <c r="D20" s="127">
        <f>(3.141592/2)*D19*(H12+H14)*10^-6</f>
        <v>0.6968315263222754</v>
      </c>
      <c r="E20" s="1" t="s">
        <v>132</v>
      </c>
    </row>
    <row r="21" spans="1:8" s="1" customFormat="1" ht="19.5" customHeight="1">
      <c r="A21" s="14" t="s">
        <v>147</v>
      </c>
      <c r="D21" s="25"/>
      <c r="H21" s="12"/>
    </row>
    <row r="22" spans="1:8" s="1" customFormat="1" ht="19.5" customHeight="1">
      <c r="A22" s="14"/>
      <c r="D22" s="25"/>
      <c r="H22" s="12"/>
    </row>
    <row r="23" spans="1:9" ht="19.5" customHeight="1">
      <c r="A23" s="21" t="s">
        <v>146</v>
      </c>
      <c r="B23" s="21"/>
      <c r="C23" s="20"/>
      <c r="D23" s="27"/>
      <c r="E23" s="20"/>
      <c r="F23" s="20"/>
      <c r="G23" s="20"/>
      <c r="H23" s="20"/>
      <c r="I23" s="20"/>
    </row>
    <row r="24" spans="1:9" ht="8.25" customHeight="1">
      <c r="A24" s="21"/>
      <c r="B24" s="21"/>
      <c r="C24" s="20"/>
      <c r="D24" s="27"/>
      <c r="E24" s="20"/>
      <c r="F24" s="20"/>
      <c r="G24" s="20"/>
      <c r="H24" s="20"/>
      <c r="I24" s="20"/>
    </row>
    <row r="25" ht="19.5" customHeight="1">
      <c r="B25" s="16" t="s">
        <v>123</v>
      </c>
    </row>
    <row r="26" ht="19.5" customHeight="1">
      <c r="B26" s="16" t="s">
        <v>124</v>
      </c>
    </row>
    <row r="27" ht="19.5" customHeight="1">
      <c r="B27" s="38" t="s">
        <v>283</v>
      </c>
    </row>
    <row r="28" ht="19.5" customHeight="1">
      <c r="B28" s="38" t="s">
        <v>46</v>
      </c>
    </row>
    <row r="29" ht="19.5" customHeight="1">
      <c r="B29" s="38" t="s">
        <v>284</v>
      </c>
    </row>
    <row r="31" spans="2:8" ht="19.5" customHeight="1">
      <c r="B31" s="1" t="s">
        <v>144</v>
      </c>
      <c r="H31" s="29"/>
    </row>
    <row r="32" spans="2:9" s="1" customFormat="1" ht="19.5" customHeight="1">
      <c r="B32" s="11" t="s">
        <v>136</v>
      </c>
      <c r="C32" s="11"/>
      <c r="D32" s="25"/>
      <c r="E32" s="25"/>
      <c r="F32" s="25" t="s">
        <v>127</v>
      </c>
      <c r="G32" s="11" t="s">
        <v>120</v>
      </c>
      <c r="H32" s="13">
        <v>114.3</v>
      </c>
      <c r="I32" s="1" t="s">
        <v>119</v>
      </c>
    </row>
    <row r="33" spans="2:9" s="1" customFormat="1" ht="19.5" customHeight="1">
      <c r="B33" s="11" t="s">
        <v>137</v>
      </c>
      <c r="C33" s="11"/>
      <c r="D33" s="25"/>
      <c r="E33" s="25"/>
      <c r="F33" s="25" t="s">
        <v>129</v>
      </c>
      <c r="G33" s="11" t="s">
        <v>120</v>
      </c>
      <c r="H33" s="28">
        <v>102.3</v>
      </c>
      <c r="I33" s="1" t="s">
        <v>119</v>
      </c>
    </row>
    <row r="34" spans="2:9" s="1" customFormat="1" ht="19.5" customHeight="1">
      <c r="B34" s="11" t="s">
        <v>138</v>
      </c>
      <c r="C34" s="11"/>
      <c r="D34" s="25"/>
      <c r="E34" s="25"/>
      <c r="F34" s="25" t="s">
        <v>130</v>
      </c>
      <c r="G34" s="11" t="s">
        <v>120</v>
      </c>
      <c r="H34" s="13">
        <v>152.4</v>
      </c>
      <c r="I34" s="1" t="s">
        <v>119</v>
      </c>
    </row>
    <row r="35" spans="1:4" s="1" customFormat="1" ht="8.25" customHeight="1">
      <c r="A35" s="14"/>
      <c r="B35" s="14"/>
      <c r="D35" s="25"/>
    </row>
    <row r="36" spans="2:5" s="1" customFormat="1" ht="19.5" customHeight="1">
      <c r="B36" s="11" t="s">
        <v>139</v>
      </c>
      <c r="C36" s="1" t="s">
        <v>120</v>
      </c>
      <c r="D36" s="136">
        <f>3.141592*H33^2*H34*10^-9/12</f>
        <v>0.000417546426039336</v>
      </c>
      <c r="E36" s="1" t="s">
        <v>131</v>
      </c>
    </row>
    <row r="37" spans="2:5" s="1" customFormat="1" ht="19.5" customHeight="1">
      <c r="B37" s="11" t="s">
        <v>182</v>
      </c>
      <c r="C37" s="1" t="s">
        <v>120</v>
      </c>
      <c r="D37" s="15">
        <f>((H32/2)^2+H34^2)^0.5*0.001</f>
        <v>0.162763271348299</v>
      </c>
      <c r="E37" s="1" t="s">
        <v>119</v>
      </c>
    </row>
    <row r="38" spans="2:5" s="1" customFormat="1" ht="19.5" customHeight="1">
      <c r="B38" s="1" t="s">
        <v>140</v>
      </c>
      <c r="C38" s="1" t="s">
        <v>120</v>
      </c>
      <c r="D38" s="136">
        <f>3.141592*H32*D37*10^-3/2</f>
        <v>0.02922284046488803</v>
      </c>
      <c r="E38" s="1" t="s">
        <v>132</v>
      </c>
    </row>
    <row r="39" spans="1:8" s="1" customFormat="1" ht="19.5" customHeight="1">
      <c r="A39" s="14"/>
      <c r="D39" s="25"/>
      <c r="H39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I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408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409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402</v>
      </c>
    </row>
    <row r="6" ht="19.5" customHeight="1">
      <c r="B6" s="22" t="s">
        <v>400</v>
      </c>
    </row>
    <row r="7" ht="19.5" customHeight="1">
      <c r="B7" s="22" t="s">
        <v>405</v>
      </c>
    </row>
    <row r="8" ht="19.5" customHeight="1">
      <c r="B8" s="22" t="s">
        <v>403</v>
      </c>
    </row>
    <row r="9" ht="19.5" customHeight="1">
      <c r="B9" s="60" t="s">
        <v>404</v>
      </c>
    </row>
    <row r="10" ht="7.5" customHeight="1">
      <c r="B10" s="60"/>
    </row>
    <row r="11" ht="19.5" customHeight="1">
      <c r="B11" s="59" t="s">
        <v>406</v>
      </c>
    </row>
    <row r="12" ht="9.75" customHeight="1">
      <c r="B12" s="23"/>
    </row>
    <row r="13" ht="19.5" customHeight="1">
      <c r="B13" s="1" t="s">
        <v>20</v>
      </c>
    </row>
    <row r="14" spans="2:9" s="1" customFormat="1" ht="19.5" customHeight="1">
      <c r="B14" s="11" t="s">
        <v>21</v>
      </c>
      <c r="C14" s="11"/>
      <c r="D14" s="25"/>
      <c r="E14" s="25"/>
      <c r="F14" s="24" t="s">
        <v>22</v>
      </c>
      <c r="G14" s="11" t="s">
        <v>23</v>
      </c>
      <c r="H14" s="13">
        <v>100</v>
      </c>
      <c r="I14" s="1" t="s">
        <v>24</v>
      </c>
    </row>
    <row r="15" spans="2:9" s="1" customFormat="1" ht="19.5" customHeight="1">
      <c r="B15" s="11" t="s">
        <v>25</v>
      </c>
      <c r="C15" s="11"/>
      <c r="D15" s="25"/>
      <c r="E15" s="25"/>
      <c r="F15" s="24" t="s">
        <v>26</v>
      </c>
      <c r="G15" s="11" t="s">
        <v>23</v>
      </c>
      <c r="H15" s="13">
        <v>70</v>
      </c>
      <c r="I15" s="1" t="s">
        <v>24</v>
      </c>
    </row>
    <row r="16" spans="1:9" s="1" customFormat="1" ht="19.5" customHeight="1">
      <c r="A16" s="14"/>
      <c r="B16" s="11" t="s">
        <v>27</v>
      </c>
      <c r="C16" s="11"/>
      <c r="D16" s="25"/>
      <c r="F16" s="24" t="s">
        <v>28</v>
      </c>
      <c r="G16" s="11" t="s">
        <v>23</v>
      </c>
      <c r="H16" s="13">
        <v>6</v>
      </c>
      <c r="I16" s="1" t="s">
        <v>24</v>
      </c>
    </row>
    <row r="17" spans="2:8" s="1" customFormat="1" ht="19.5" customHeight="1">
      <c r="B17" s="11" t="s">
        <v>29</v>
      </c>
      <c r="C17" s="11"/>
      <c r="D17" s="12"/>
      <c r="F17" s="24" t="s">
        <v>30</v>
      </c>
      <c r="G17" s="11" t="s">
        <v>23</v>
      </c>
      <c r="H17" s="13">
        <v>7.85</v>
      </c>
    </row>
    <row r="18" spans="1:4" s="1" customFormat="1" ht="8.25" customHeight="1">
      <c r="A18" s="14"/>
      <c r="B18" s="11"/>
      <c r="C18" s="11"/>
      <c r="D18" s="25"/>
    </row>
    <row r="19" spans="2:5" s="1" customFormat="1" ht="19.5" customHeight="1">
      <c r="B19" s="24" t="s">
        <v>31</v>
      </c>
      <c r="C19" s="1" t="s">
        <v>23</v>
      </c>
      <c r="D19" s="128">
        <f>H14*H15*H16*H17*10^-6</f>
        <v>0.3297</v>
      </c>
      <c r="E19" s="1" t="s">
        <v>32</v>
      </c>
    </row>
    <row r="20" spans="2:5" s="1" customFormat="1" ht="19.5" customHeight="1">
      <c r="B20" s="24"/>
      <c r="C20" s="1" t="s">
        <v>23</v>
      </c>
      <c r="D20" s="31">
        <f>D19*2.2046</f>
        <v>0.7268566200000001</v>
      </c>
      <c r="E20" s="41" t="s">
        <v>33</v>
      </c>
    </row>
    <row r="21" spans="2:5" s="1" customFormat="1" ht="19.5" customHeight="1">
      <c r="B21" s="24"/>
      <c r="D21" s="31"/>
      <c r="E21" s="41"/>
    </row>
    <row r="22" spans="1:8" s="1" customFormat="1" ht="19.5" customHeight="1">
      <c r="A22" s="14" t="s">
        <v>407</v>
      </c>
      <c r="D22" s="25"/>
      <c r="H22" s="12"/>
    </row>
    <row r="23" spans="1:8" s="1" customFormat="1" ht="19.5" customHeight="1">
      <c r="A23" s="14"/>
      <c r="D23" s="25"/>
      <c r="H23" s="12"/>
    </row>
    <row r="24" spans="1:9" ht="19.5" customHeight="1">
      <c r="A24" s="21" t="s">
        <v>126</v>
      </c>
      <c r="B24" s="21"/>
      <c r="C24" s="20"/>
      <c r="D24" s="27"/>
      <c r="E24" s="20"/>
      <c r="F24" s="20"/>
      <c r="G24" s="20"/>
      <c r="H24" s="20"/>
      <c r="I24" s="20"/>
    </row>
    <row r="25" spans="1:9" ht="8.25" customHeight="1">
      <c r="A25" s="21"/>
      <c r="B25" s="21"/>
      <c r="C25" s="20"/>
      <c r="D25" s="27"/>
      <c r="E25" s="20"/>
      <c r="F25" s="20"/>
      <c r="G25" s="20"/>
      <c r="H25" s="20"/>
      <c r="I25" s="20"/>
    </row>
    <row r="26" ht="19.5" customHeight="1">
      <c r="B26" s="22" t="s">
        <v>34</v>
      </c>
    </row>
    <row r="27" ht="19.5" customHeight="1">
      <c r="B27" s="22" t="s">
        <v>35</v>
      </c>
    </row>
    <row r="28" ht="19.5" customHeight="1">
      <c r="B28" s="22" t="s">
        <v>36</v>
      </c>
    </row>
    <row r="29" ht="19.5" customHeight="1">
      <c r="B29" s="60" t="s">
        <v>37</v>
      </c>
    </row>
    <row r="30" ht="19.5" customHeight="1">
      <c r="B30" s="22" t="s">
        <v>38</v>
      </c>
    </row>
    <row r="31" ht="7.5" customHeight="1">
      <c r="B31" s="60"/>
    </row>
    <row r="32" ht="19.5" customHeight="1">
      <c r="B32" s="59" t="s">
        <v>39</v>
      </c>
    </row>
    <row r="33" ht="9.75" customHeight="1">
      <c r="B33" s="23"/>
    </row>
    <row r="34" spans="2:9" s="1" customFormat="1" ht="19.5" customHeight="1">
      <c r="B34" s="1" t="s">
        <v>20</v>
      </c>
      <c r="C34" s="16"/>
      <c r="D34" s="24"/>
      <c r="E34" s="16"/>
      <c r="F34" s="16"/>
      <c r="G34" s="16"/>
      <c r="H34" s="16"/>
      <c r="I34" s="16"/>
    </row>
    <row r="35" spans="2:9" s="1" customFormat="1" ht="19.5" customHeight="1">
      <c r="B35" s="11" t="s">
        <v>27</v>
      </c>
      <c r="C35" s="11"/>
      <c r="D35" s="25"/>
      <c r="E35" s="25"/>
      <c r="F35" s="24" t="s">
        <v>28</v>
      </c>
      <c r="G35" s="11" t="s">
        <v>23</v>
      </c>
      <c r="H35" s="13">
        <v>6</v>
      </c>
      <c r="I35" s="1" t="s">
        <v>24</v>
      </c>
    </row>
    <row r="36" spans="1:9" s="1" customFormat="1" ht="19.5" customHeight="1">
      <c r="A36" s="14"/>
      <c r="B36" s="11" t="s">
        <v>40</v>
      </c>
      <c r="C36" s="11"/>
      <c r="D36" s="25"/>
      <c r="E36" s="25"/>
      <c r="F36" s="24" t="s">
        <v>41</v>
      </c>
      <c r="G36" s="11" t="s">
        <v>23</v>
      </c>
      <c r="H36" s="13">
        <v>114.3</v>
      </c>
      <c r="I36" s="1" t="s">
        <v>24</v>
      </c>
    </row>
    <row r="37" spans="2:9" s="1" customFormat="1" ht="19.5" customHeight="1">
      <c r="B37" s="11" t="s">
        <v>21</v>
      </c>
      <c r="C37" s="11"/>
      <c r="D37" s="25"/>
      <c r="E37" s="25"/>
      <c r="F37" s="24" t="s">
        <v>22</v>
      </c>
      <c r="G37" s="11" t="s">
        <v>23</v>
      </c>
      <c r="H37" s="13">
        <v>1000</v>
      </c>
      <c r="I37" s="1" t="s">
        <v>24</v>
      </c>
    </row>
    <row r="38" spans="2:8" s="1" customFormat="1" ht="19.5" customHeight="1">
      <c r="B38" s="11" t="s">
        <v>29</v>
      </c>
      <c r="C38" s="11"/>
      <c r="D38" s="25"/>
      <c r="E38" s="25"/>
      <c r="F38" s="24" t="s">
        <v>30</v>
      </c>
      <c r="G38" s="11" t="s">
        <v>23</v>
      </c>
      <c r="H38" s="13">
        <v>7.85</v>
      </c>
    </row>
    <row r="39" spans="1:9" s="1" customFormat="1" ht="8.25" customHeight="1">
      <c r="A39" s="14"/>
      <c r="C39" s="11"/>
      <c r="D39" s="11"/>
      <c r="E39" s="25"/>
      <c r="F39" s="25"/>
      <c r="G39" s="25"/>
      <c r="H39" s="11"/>
      <c r="I39" s="13"/>
    </row>
    <row r="40" spans="1:5" s="1" customFormat="1" ht="19.5" customHeight="1">
      <c r="A40" s="14"/>
      <c r="B40" s="24" t="s">
        <v>31</v>
      </c>
      <c r="C40" s="1" t="s">
        <v>23</v>
      </c>
      <c r="D40" s="128">
        <f>3.141592*H35*(H36-H35)*H38*H37*10^-6</f>
        <v>16.02504088056</v>
      </c>
      <c r="E40" s="1" t="s">
        <v>32</v>
      </c>
    </row>
    <row r="41" spans="1:5" s="1" customFormat="1" ht="19.5" customHeight="1">
      <c r="A41" s="14"/>
      <c r="B41" s="24"/>
      <c r="C41" s="1" t="s">
        <v>23</v>
      </c>
      <c r="D41" s="31">
        <f>D40*2.2046</f>
        <v>35.32880512528258</v>
      </c>
      <c r="E41" s="41" t="s">
        <v>33</v>
      </c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/>
  <dimension ref="A1:I41"/>
  <sheetViews>
    <sheetView showGridLines="0" showRowColHeaders="0" zoomScale="95" zoomScaleNormal="95" zoomScalePageLayoutView="0" workbookViewId="0" topLeftCell="A1">
      <pane ySplit="1" topLeftCell="A10" activePane="bottomLeft" state="frozen"/>
      <selection pane="topLeft" activeCell="A1" sqref="A1"/>
      <selection pane="bottomLeft" activeCell="H34" sqref="H34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408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415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397</v>
      </c>
    </row>
    <row r="6" ht="19.5" customHeight="1">
      <c r="B6" s="22" t="s">
        <v>398</v>
      </c>
    </row>
    <row r="7" ht="19.5" customHeight="1">
      <c r="B7" s="60" t="s">
        <v>399</v>
      </c>
    </row>
    <row r="8" ht="7.5" customHeight="1">
      <c r="B8" s="60"/>
    </row>
    <row r="9" ht="19.5" customHeight="1">
      <c r="B9" s="59" t="s">
        <v>414</v>
      </c>
    </row>
    <row r="10" ht="19.5" customHeight="1">
      <c r="B10" s="38"/>
    </row>
    <row r="11" ht="19.5" customHeight="1">
      <c r="B11" s="1" t="s">
        <v>144</v>
      </c>
    </row>
    <row r="12" spans="2:9" s="1" customFormat="1" ht="19.5" customHeight="1">
      <c r="B12" s="11" t="s">
        <v>136</v>
      </c>
      <c r="C12" s="11"/>
      <c r="D12" s="25"/>
      <c r="E12" s="25"/>
      <c r="F12" s="25" t="s">
        <v>17</v>
      </c>
      <c r="G12" s="11" t="s">
        <v>120</v>
      </c>
      <c r="H12" s="13">
        <v>508</v>
      </c>
      <c r="I12" s="1" t="s">
        <v>119</v>
      </c>
    </row>
    <row r="13" spans="2:9" s="1" customFormat="1" ht="19.5" customHeight="1">
      <c r="B13" s="11" t="s">
        <v>136</v>
      </c>
      <c r="C13" s="11"/>
      <c r="D13" s="25"/>
      <c r="E13" s="25"/>
      <c r="F13" s="25" t="s">
        <v>18</v>
      </c>
      <c r="G13" s="11" t="s">
        <v>120</v>
      </c>
      <c r="H13" s="13">
        <v>219.1</v>
      </c>
      <c r="I13" s="1" t="s">
        <v>119</v>
      </c>
    </row>
    <row r="14" spans="2:9" s="1" customFormat="1" ht="19.5" customHeight="1">
      <c r="B14" s="11" t="s">
        <v>138</v>
      </c>
      <c r="C14" s="11"/>
      <c r="D14" s="25"/>
      <c r="E14" s="25"/>
      <c r="F14" s="25" t="s">
        <v>192</v>
      </c>
      <c r="G14" s="11" t="s">
        <v>120</v>
      </c>
      <c r="H14" s="13">
        <v>508</v>
      </c>
      <c r="I14" s="1" t="s">
        <v>119</v>
      </c>
    </row>
    <row r="15" spans="2:9" s="1" customFormat="1" ht="19.5" customHeight="1">
      <c r="B15" s="11" t="s">
        <v>396</v>
      </c>
      <c r="C15" s="11"/>
      <c r="D15" s="25"/>
      <c r="E15" s="25"/>
      <c r="F15" s="25" t="s">
        <v>128</v>
      </c>
      <c r="G15" s="11" t="s">
        <v>120</v>
      </c>
      <c r="H15" s="13">
        <v>6</v>
      </c>
      <c r="I15" s="1" t="s">
        <v>119</v>
      </c>
    </row>
    <row r="16" spans="1:8" s="1" customFormat="1" ht="19.5" customHeight="1">
      <c r="A16" s="14"/>
      <c r="B16" s="11" t="s">
        <v>410</v>
      </c>
      <c r="C16" s="11"/>
      <c r="D16" s="12"/>
      <c r="F16" s="24" t="s">
        <v>401</v>
      </c>
      <c r="G16" s="11" t="s">
        <v>120</v>
      </c>
      <c r="H16" s="13">
        <v>7.85</v>
      </c>
    </row>
    <row r="17" spans="1:8" s="1" customFormat="1" ht="19.5" customHeight="1">
      <c r="A17" s="14"/>
      <c r="B17" s="11"/>
      <c r="C17" s="11"/>
      <c r="D17" s="12"/>
      <c r="F17" s="24"/>
      <c r="G17" s="11"/>
      <c r="H17" s="13"/>
    </row>
    <row r="18" spans="2:8" s="1" customFormat="1" ht="19.5" customHeight="1">
      <c r="B18" s="24" t="s">
        <v>162</v>
      </c>
      <c r="C18" s="1" t="s">
        <v>120</v>
      </c>
      <c r="D18" s="31">
        <f>(((H12-H13)/2)^2+H14^2)^0.5</f>
        <v>528.138052501427</v>
      </c>
      <c r="E18" s="1" t="s">
        <v>119</v>
      </c>
      <c r="F18" s="24"/>
      <c r="G18" s="11"/>
      <c r="H18" s="13"/>
    </row>
    <row r="19" spans="1:4" s="1" customFormat="1" ht="8.25" customHeight="1">
      <c r="A19" s="14"/>
      <c r="B19" s="11"/>
      <c r="C19" s="11"/>
      <c r="D19" s="25"/>
    </row>
    <row r="20" spans="2:5" s="1" customFormat="1" ht="19.5" customHeight="1">
      <c r="B20" s="24" t="s">
        <v>411</v>
      </c>
      <c r="C20" s="1" t="s">
        <v>120</v>
      </c>
      <c r="D20" s="128">
        <f>(3.141592/2)*H15*D18*(H12+H13-(2*H15))*H16*10^-6</f>
        <v>27.9418354984174</v>
      </c>
      <c r="E20" s="1" t="s">
        <v>412</v>
      </c>
    </row>
    <row r="21" spans="2:5" s="1" customFormat="1" ht="19.5" customHeight="1">
      <c r="B21" s="24"/>
      <c r="C21" s="1" t="s">
        <v>120</v>
      </c>
      <c r="D21" s="31">
        <f>D20*2.2046</f>
        <v>61.600570539811</v>
      </c>
      <c r="E21" s="41" t="s">
        <v>413</v>
      </c>
    </row>
    <row r="22" spans="2:5" s="1" customFormat="1" ht="19.5" customHeight="1">
      <c r="B22" s="24"/>
      <c r="D22" s="31"/>
      <c r="E22" s="41"/>
    </row>
    <row r="23" spans="1:8" s="1" customFormat="1" ht="19.5" customHeight="1">
      <c r="A23" s="14" t="s">
        <v>147</v>
      </c>
      <c r="D23" s="25"/>
      <c r="H23" s="12"/>
    </row>
    <row r="24" spans="1:8" s="1" customFormat="1" ht="19.5" customHeight="1">
      <c r="A24" s="14"/>
      <c r="D24" s="25"/>
      <c r="H24" s="12"/>
    </row>
    <row r="25" spans="1:9" ht="19.5" customHeight="1">
      <c r="A25" s="21" t="s">
        <v>219</v>
      </c>
      <c r="B25" s="21"/>
      <c r="C25" s="20"/>
      <c r="D25" s="27"/>
      <c r="E25" s="20"/>
      <c r="F25" s="20"/>
      <c r="G25" s="20"/>
      <c r="H25" s="20"/>
      <c r="I25" s="20"/>
    </row>
    <row r="26" spans="1:9" ht="8.25" customHeight="1">
      <c r="A26" s="21"/>
      <c r="B26" s="21"/>
      <c r="C26" s="20"/>
      <c r="D26" s="27"/>
      <c r="E26" s="20"/>
      <c r="F26" s="20"/>
      <c r="G26" s="20"/>
      <c r="H26" s="20"/>
      <c r="I26" s="20"/>
    </row>
    <row r="27" ht="19.5" customHeight="1">
      <c r="B27" s="22" t="s">
        <v>397</v>
      </c>
    </row>
    <row r="28" ht="19.5" customHeight="1">
      <c r="B28" s="22" t="s">
        <v>416</v>
      </c>
    </row>
    <row r="29" ht="19.5" customHeight="1">
      <c r="B29" s="60" t="s">
        <v>399</v>
      </c>
    </row>
    <row r="30" ht="7.5" customHeight="1">
      <c r="B30" s="60"/>
    </row>
    <row r="31" ht="19.5" customHeight="1">
      <c r="B31" s="59" t="s">
        <v>19</v>
      </c>
    </row>
    <row r="32" ht="9.75" customHeight="1">
      <c r="B32" s="23"/>
    </row>
    <row r="33" spans="2:9" s="1" customFormat="1" ht="19.5" customHeight="1">
      <c r="B33" s="1" t="s">
        <v>144</v>
      </c>
      <c r="C33" s="16"/>
      <c r="D33" s="24"/>
      <c r="E33" s="16"/>
      <c r="F33" s="16"/>
      <c r="G33" s="16"/>
      <c r="H33" s="16"/>
      <c r="I33" s="16"/>
    </row>
    <row r="34" spans="2:9" s="1" customFormat="1" ht="19.5" customHeight="1">
      <c r="B34" s="11" t="s">
        <v>417</v>
      </c>
      <c r="C34" s="11"/>
      <c r="D34" s="25"/>
      <c r="E34" s="25"/>
      <c r="F34" s="24" t="s">
        <v>129</v>
      </c>
      <c r="G34" s="11" t="s">
        <v>120</v>
      </c>
      <c r="H34" s="13">
        <v>100</v>
      </c>
      <c r="I34" s="1" t="s">
        <v>119</v>
      </c>
    </row>
    <row r="35" spans="2:8" s="1" customFormat="1" ht="19.5" customHeight="1">
      <c r="B35" s="11" t="s">
        <v>410</v>
      </c>
      <c r="C35" s="11"/>
      <c r="D35" s="25"/>
      <c r="E35" s="25"/>
      <c r="F35" s="24" t="s">
        <v>401</v>
      </c>
      <c r="G35" s="11" t="s">
        <v>120</v>
      </c>
      <c r="H35" s="13">
        <v>7.85</v>
      </c>
    </row>
    <row r="36" spans="1:9" s="1" customFormat="1" ht="8.25" customHeight="1">
      <c r="A36" s="14"/>
      <c r="C36" s="11"/>
      <c r="D36" s="11"/>
      <c r="E36" s="25"/>
      <c r="F36" s="25"/>
      <c r="G36" s="25"/>
      <c r="H36" s="11"/>
      <c r="I36" s="13"/>
    </row>
    <row r="37" spans="1:5" s="1" customFormat="1" ht="19.5" customHeight="1">
      <c r="A37" s="14"/>
      <c r="B37" s="24" t="s">
        <v>411</v>
      </c>
      <c r="C37" s="1" t="s">
        <v>120</v>
      </c>
      <c r="D37" s="127">
        <f>(3.141592/6)*H34^3*H35*10^-6</f>
        <v>4.110249533333333</v>
      </c>
      <c r="E37" s="1" t="s">
        <v>412</v>
      </c>
    </row>
    <row r="38" spans="1:5" s="1" customFormat="1" ht="19.5" customHeight="1">
      <c r="A38" s="14"/>
      <c r="B38" s="24"/>
      <c r="C38" s="1" t="s">
        <v>120</v>
      </c>
      <c r="D38" s="12">
        <f>D37*2.2046</f>
        <v>9.061456121186666</v>
      </c>
      <c r="E38" s="41" t="s">
        <v>413</v>
      </c>
    </row>
    <row r="39" spans="1:5" s="1" customFormat="1" ht="19.5" customHeight="1">
      <c r="A39" s="14"/>
      <c r="B39" s="24"/>
      <c r="D39" s="31"/>
      <c r="E39" s="41"/>
    </row>
    <row r="40" spans="1:5" s="1" customFormat="1" ht="19.5" customHeight="1">
      <c r="A40" s="14"/>
      <c r="B40" s="24"/>
      <c r="D40" s="31"/>
      <c r="E40" s="41"/>
    </row>
    <row r="41" spans="1:5" s="1" customFormat="1" ht="19.5" customHeight="1">
      <c r="A41" s="14"/>
      <c r="B41" s="24"/>
      <c r="D41" s="31"/>
      <c r="E41" s="41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/>
  <dimension ref="A1:I40"/>
  <sheetViews>
    <sheetView showGridLines="0" showRowColHeaders="0" zoomScale="95" zoomScaleNormal="95" zoomScalePageLayoutView="0" workbookViewId="0" topLeftCell="A1">
      <pane ySplit="1" topLeftCell="A6" activePane="bottomLeft" state="frozen"/>
      <selection pane="topLeft" activeCell="A1" sqref="A1"/>
      <selection pane="bottomLeft" activeCell="H30" sqref="H30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408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419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397</v>
      </c>
    </row>
    <row r="6" ht="19.5" customHeight="1">
      <c r="B6" s="22" t="s">
        <v>14</v>
      </c>
    </row>
    <row r="7" ht="19.5" customHeight="1">
      <c r="B7" s="60" t="s">
        <v>399</v>
      </c>
    </row>
    <row r="8" ht="7.5" customHeight="1">
      <c r="B8" s="60"/>
    </row>
    <row r="9" ht="19.5" customHeight="1">
      <c r="B9" s="59" t="s">
        <v>15</v>
      </c>
    </row>
    <row r="10" ht="19.5" customHeight="1">
      <c r="B10" s="38"/>
    </row>
    <row r="11" ht="19.5" customHeight="1">
      <c r="B11" s="1" t="s">
        <v>144</v>
      </c>
    </row>
    <row r="12" spans="2:9" s="1" customFormat="1" ht="19.5" customHeight="1">
      <c r="B12" s="11" t="s">
        <v>136</v>
      </c>
      <c r="C12" s="11"/>
      <c r="D12" s="25"/>
      <c r="E12" s="25"/>
      <c r="F12" s="25" t="s">
        <v>127</v>
      </c>
      <c r="G12" s="11" t="s">
        <v>120</v>
      </c>
      <c r="H12" s="13">
        <v>20</v>
      </c>
      <c r="I12" s="1" t="s">
        <v>119</v>
      </c>
    </row>
    <row r="13" spans="2:9" s="1" customFormat="1" ht="19.5" customHeight="1">
      <c r="B13" s="11" t="s">
        <v>138</v>
      </c>
      <c r="C13" s="11"/>
      <c r="D13" s="25"/>
      <c r="E13" s="25"/>
      <c r="F13" s="25" t="s">
        <v>130</v>
      </c>
      <c r="G13" s="11" t="s">
        <v>120</v>
      </c>
      <c r="H13" s="13">
        <v>1000</v>
      </c>
      <c r="I13" s="1" t="s">
        <v>119</v>
      </c>
    </row>
    <row r="14" spans="1:8" s="1" customFormat="1" ht="19.5" customHeight="1">
      <c r="A14" s="14"/>
      <c r="B14" s="11" t="s">
        <v>410</v>
      </c>
      <c r="C14" s="11"/>
      <c r="D14" s="12"/>
      <c r="F14" s="24" t="s">
        <v>401</v>
      </c>
      <c r="G14" s="11" t="s">
        <v>120</v>
      </c>
      <c r="H14" s="13">
        <v>7.85</v>
      </c>
    </row>
    <row r="15" spans="1:8" s="1" customFormat="1" ht="19.5" customHeight="1">
      <c r="A15" s="14"/>
      <c r="B15" s="11"/>
      <c r="C15" s="11"/>
      <c r="D15" s="12"/>
      <c r="F15" s="24"/>
      <c r="G15" s="11"/>
      <c r="H15" s="13"/>
    </row>
    <row r="16" spans="2:5" s="1" customFormat="1" ht="19.5" customHeight="1">
      <c r="B16" s="24" t="s">
        <v>411</v>
      </c>
      <c r="C16" s="1" t="s">
        <v>120</v>
      </c>
      <c r="D16" s="128">
        <f>(3.141592/4)*H13*H12^2*H14*10^-6</f>
        <v>2.46614972</v>
      </c>
      <c r="E16" s="1" t="s">
        <v>412</v>
      </c>
    </row>
    <row r="17" spans="2:5" s="1" customFormat="1" ht="19.5" customHeight="1">
      <c r="B17" s="24"/>
      <c r="C17" s="1" t="s">
        <v>120</v>
      </c>
      <c r="D17" s="31">
        <f>D16*2.2046</f>
        <v>5.436873672712001</v>
      </c>
      <c r="E17" s="41" t="s">
        <v>413</v>
      </c>
    </row>
    <row r="18" spans="2:5" s="1" customFormat="1" ht="19.5" customHeight="1">
      <c r="B18" s="24"/>
      <c r="D18" s="31"/>
      <c r="E18" s="41"/>
    </row>
    <row r="19" spans="1:8" s="1" customFormat="1" ht="19.5" customHeight="1">
      <c r="A19" s="14" t="s">
        <v>147</v>
      </c>
      <c r="D19" s="25"/>
      <c r="H19" s="12"/>
    </row>
    <row r="20" spans="1:8" s="1" customFormat="1" ht="19.5" customHeight="1">
      <c r="A20" s="14"/>
      <c r="D20" s="25"/>
      <c r="H20" s="12"/>
    </row>
    <row r="21" spans="1:9" ht="19.5" customHeight="1">
      <c r="A21" s="21" t="s">
        <v>420</v>
      </c>
      <c r="B21" s="21"/>
      <c r="C21" s="20"/>
      <c r="D21" s="27"/>
      <c r="E21" s="20"/>
      <c r="F21" s="20"/>
      <c r="G21" s="20"/>
      <c r="H21" s="20"/>
      <c r="I21" s="20"/>
    </row>
    <row r="22" spans="1:9" ht="8.25" customHeight="1">
      <c r="A22" s="21"/>
      <c r="B22" s="21"/>
      <c r="C22" s="20"/>
      <c r="D22" s="27"/>
      <c r="E22" s="20"/>
      <c r="F22" s="20"/>
      <c r="G22" s="20"/>
      <c r="H22" s="20"/>
      <c r="I22" s="20"/>
    </row>
    <row r="23" ht="19.5" customHeight="1">
      <c r="B23" s="22" t="s">
        <v>397</v>
      </c>
    </row>
    <row r="24" ht="19.5" customHeight="1">
      <c r="B24" s="22" t="s">
        <v>416</v>
      </c>
    </row>
    <row r="25" ht="19.5" customHeight="1">
      <c r="B25" s="60" t="s">
        <v>399</v>
      </c>
    </row>
    <row r="26" ht="7.5" customHeight="1">
      <c r="B26" s="60"/>
    </row>
    <row r="27" ht="19.5" customHeight="1">
      <c r="B27" s="59" t="s">
        <v>16</v>
      </c>
    </row>
    <row r="28" ht="9.75" customHeight="1">
      <c r="B28" s="23"/>
    </row>
    <row r="29" spans="2:9" s="1" customFormat="1" ht="19.5" customHeight="1">
      <c r="B29" s="1" t="s">
        <v>144</v>
      </c>
      <c r="C29" s="16"/>
      <c r="D29" s="24"/>
      <c r="E29" s="16"/>
      <c r="F29" s="16"/>
      <c r="G29" s="16"/>
      <c r="H29" s="16"/>
      <c r="I29" s="16"/>
    </row>
    <row r="30" spans="2:9" s="1" customFormat="1" ht="19.5" customHeight="1">
      <c r="B30" s="11" t="s">
        <v>417</v>
      </c>
      <c r="C30" s="11"/>
      <c r="D30" s="25"/>
      <c r="E30" s="25"/>
      <c r="F30" s="24" t="s">
        <v>129</v>
      </c>
      <c r="G30" s="11" t="s">
        <v>120</v>
      </c>
      <c r="H30" s="13">
        <v>100</v>
      </c>
      <c r="I30" s="1" t="s">
        <v>119</v>
      </c>
    </row>
    <row r="31" spans="2:9" s="1" customFormat="1" ht="19.5" customHeight="1">
      <c r="B31" s="11" t="s">
        <v>396</v>
      </c>
      <c r="C31" s="11"/>
      <c r="D31" s="25"/>
      <c r="E31" s="25"/>
      <c r="F31" s="24" t="s">
        <v>128</v>
      </c>
      <c r="G31" s="11" t="s">
        <v>120</v>
      </c>
      <c r="H31" s="13">
        <v>10</v>
      </c>
      <c r="I31" s="1" t="s">
        <v>119</v>
      </c>
    </row>
    <row r="32" spans="2:8" s="1" customFormat="1" ht="19.5" customHeight="1">
      <c r="B32" s="11" t="s">
        <v>410</v>
      </c>
      <c r="C32" s="11"/>
      <c r="D32" s="25"/>
      <c r="E32" s="25"/>
      <c r="F32" s="24" t="s">
        <v>401</v>
      </c>
      <c r="G32" s="11" t="s">
        <v>120</v>
      </c>
      <c r="H32" s="13">
        <v>7.85</v>
      </c>
    </row>
    <row r="33" spans="1:9" s="1" customFormat="1" ht="8.25" customHeight="1">
      <c r="A33" s="14"/>
      <c r="C33" s="11"/>
      <c r="D33" s="11"/>
      <c r="E33" s="25"/>
      <c r="F33" s="25"/>
      <c r="G33" s="25"/>
      <c r="H33" s="11"/>
      <c r="I33" s="13"/>
    </row>
    <row r="34" spans="1:5" s="1" customFormat="1" ht="19.5" customHeight="1">
      <c r="A34" s="14"/>
      <c r="B34" s="24" t="s">
        <v>411</v>
      </c>
      <c r="C34" s="1" t="s">
        <v>120</v>
      </c>
      <c r="D34" s="128">
        <f>(3.141592/4)*H30^2*H31*H32*10^-6</f>
        <v>0.61653743</v>
      </c>
      <c r="E34" s="1" t="s">
        <v>412</v>
      </c>
    </row>
    <row r="35" spans="1:5" s="1" customFormat="1" ht="19.5" customHeight="1">
      <c r="A35" s="14"/>
      <c r="B35" s="24"/>
      <c r="C35" s="1" t="s">
        <v>120</v>
      </c>
      <c r="D35" s="31">
        <f>D34*2.2046</f>
        <v>1.3592184181780003</v>
      </c>
      <c r="E35" s="41" t="s">
        <v>413</v>
      </c>
    </row>
    <row r="36" spans="1:5" s="1" customFormat="1" ht="19.5" customHeight="1">
      <c r="A36" s="14"/>
      <c r="B36" s="24"/>
      <c r="D36" s="31"/>
      <c r="E36" s="41"/>
    </row>
    <row r="37" spans="1:5" s="1" customFormat="1" ht="19.5" customHeight="1">
      <c r="A37" s="14"/>
      <c r="B37" s="24"/>
      <c r="D37" s="31"/>
      <c r="E37" s="41"/>
    </row>
    <row r="38" spans="1:5" s="1" customFormat="1" ht="19.5" customHeight="1">
      <c r="A38" s="14"/>
      <c r="B38" s="24"/>
      <c r="D38" s="31"/>
      <c r="E38" s="41"/>
    </row>
    <row r="39" spans="1:5" s="1" customFormat="1" ht="19.5" customHeight="1">
      <c r="A39" s="14"/>
      <c r="B39" s="24"/>
      <c r="D39" s="31"/>
      <c r="E39" s="41"/>
    </row>
    <row r="40" spans="1:5" s="1" customFormat="1" ht="19.5" customHeight="1">
      <c r="A40" s="14"/>
      <c r="B40" s="24"/>
      <c r="D40" s="31"/>
      <c r="E40" s="41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N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24" customWidth="1"/>
    <col min="5" max="5" width="4.77734375" style="16" customWidth="1"/>
    <col min="6" max="7" width="3.3359375" style="16" customWidth="1"/>
    <col min="8" max="8" width="6.88671875" style="16" customWidth="1"/>
    <col min="9" max="9" width="6.5546875" style="16" customWidth="1"/>
    <col min="10" max="10" width="7.99609375" style="16" customWidth="1"/>
    <col min="11" max="11" width="6.4453125" style="16" customWidth="1"/>
    <col min="12" max="12" width="2.21484375" style="16" customWidth="1"/>
    <col min="13" max="13" width="8.21484375" style="16" customWidth="1"/>
    <col min="14" max="14" width="6.10546875" style="16" customWidth="1"/>
    <col min="15" max="16384" width="8.88671875" style="16" customWidth="1"/>
  </cols>
  <sheetData>
    <row r="1" spans="1:14" ht="19.5" customHeight="1">
      <c r="A1" s="5" t="s">
        <v>345</v>
      </c>
      <c r="B1" s="17"/>
      <c r="C1" s="18"/>
      <c r="D1" s="26"/>
      <c r="E1" s="18"/>
      <c r="F1" s="18"/>
      <c r="G1" s="18"/>
      <c r="H1" s="19"/>
      <c r="I1" s="18"/>
      <c r="J1" s="18"/>
      <c r="K1" s="18"/>
      <c r="L1" s="18"/>
      <c r="M1" s="18"/>
      <c r="N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337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338</v>
      </c>
    </row>
    <row r="6" ht="19.5" customHeight="1">
      <c r="B6" s="22" t="s">
        <v>340</v>
      </c>
    </row>
    <row r="7" ht="19.5" customHeight="1">
      <c r="B7" s="22" t="s">
        <v>339</v>
      </c>
    </row>
    <row r="8" ht="7.5" customHeight="1">
      <c r="B8" s="22"/>
    </row>
    <row r="9" ht="19.5" customHeight="1">
      <c r="B9" s="59" t="s">
        <v>384</v>
      </c>
    </row>
    <row r="10" ht="19.5" customHeight="1">
      <c r="B10" s="36"/>
    </row>
    <row r="11" ht="19.5" customHeight="1">
      <c r="B11" s="1" t="s">
        <v>332</v>
      </c>
    </row>
    <row r="12" ht="8.25" customHeight="1">
      <c r="B12" s="1"/>
    </row>
    <row r="13" spans="2:14" s="1" customFormat="1" ht="19.5" customHeight="1">
      <c r="B13" s="11" t="s">
        <v>133</v>
      </c>
      <c r="C13" s="11"/>
      <c r="D13" s="25"/>
      <c r="E13" s="25"/>
      <c r="F13" s="24" t="s">
        <v>381</v>
      </c>
      <c r="G13" s="11" t="s">
        <v>333</v>
      </c>
      <c r="H13" s="13">
        <v>100</v>
      </c>
      <c r="I13" s="1" t="s">
        <v>117</v>
      </c>
      <c r="J13" s="10"/>
      <c r="K13" s="10"/>
      <c r="L13" s="10"/>
      <c r="M13" s="10"/>
      <c r="N13" s="10"/>
    </row>
    <row r="14" spans="2:14" s="1" customFormat="1" ht="19.5" customHeight="1">
      <c r="B14" s="11" t="s">
        <v>341</v>
      </c>
      <c r="C14" s="11"/>
      <c r="D14" s="25"/>
      <c r="E14" s="25"/>
      <c r="F14" s="24" t="s">
        <v>382</v>
      </c>
      <c r="G14" s="11" t="s">
        <v>333</v>
      </c>
      <c r="H14" s="13">
        <v>3</v>
      </c>
      <c r="I14" s="1" t="s">
        <v>342</v>
      </c>
      <c r="J14" s="39"/>
      <c r="K14" s="8"/>
      <c r="L14" s="8"/>
      <c r="M14" s="9"/>
      <c r="N14" s="10"/>
    </row>
    <row r="15" spans="1:14" s="1" customFormat="1" ht="7.5" customHeight="1">
      <c r="A15" s="14"/>
      <c r="B15" s="14"/>
      <c r="D15" s="25"/>
      <c r="I15" s="2"/>
      <c r="J15" s="39"/>
      <c r="K15" s="8"/>
      <c r="L15" s="8"/>
      <c r="M15" s="9"/>
      <c r="N15" s="8"/>
    </row>
    <row r="16" spans="2:14" s="1" customFormat="1" ht="19.5" customHeight="1">
      <c r="B16" s="24" t="s">
        <v>160</v>
      </c>
      <c r="C16" s="1" t="s">
        <v>333</v>
      </c>
      <c r="D16" s="12">
        <f>3.14159*(H13*0.001)^2/4</f>
        <v>0.007853975000000001</v>
      </c>
      <c r="E16" s="1" t="s">
        <v>257</v>
      </c>
      <c r="H16" s="2"/>
      <c r="I16" s="2"/>
      <c r="J16" s="39"/>
      <c r="K16" s="8"/>
      <c r="L16" s="8"/>
      <c r="M16" s="9"/>
      <c r="N16" s="10"/>
    </row>
    <row r="17" spans="2:14" s="1" customFormat="1" ht="19.5" customHeight="1">
      <c r="B17" s="24" t="s">
        <v>358</v>
      </c>
      <c r="C17" s="1" t="s">
        <v>333</v>
      </c>
      <c r="D17" s="128">
        <f>H14*D16*3600</f>
        <v>84.82293000000001</v>
      </c>
      <c r="E17" s="2" t="s">
        <v>121</v>
      </c>
      <c r="I17" s="2"/>
      <c r="J17" s="39"/>
      <c r="K17" s="8"/>
      <c r="L17" s="8"/>
      <c r="M17" s="9"/>
      <c r="N17" s="8"/>
    </row>
    <row r="18" spans="2:14" s="1" customFormat="1" ht="19.5" customHeight="1">
      <c r="B18" s="24"/>
      <c r="C18" s="1" t="s">
        <v>118</v>
      </c>
      <c r="D18" s="32">
        <f>D17*(100/6)</f>
        <v>1413.7155000000002</v>
      </c>
      <c r="E18" s="2" t="s">
        <v>343</v>
      </c>
      <c r="I18" s="2"/>
      <c r="J18" s="39"/>
      <c r="K18" s="8"/>
      <c r="L18" s="8"/>
      <c r="M18" s="9"/>
      <c r="N18" s="8"/>
    </row>
    <row r="19" spans="2:14" s="1" customFormat="1" ht="19.5" customHeight="1">
      <c r="B19" s="11"/>
      <c r="C19" s="1" t="s">
        <v>333</v>
      </c>
      <c r="D19" s="32">
        <f>D17*35.317</f>
        <v>2995.6914188100004</v>
      </c>
      <c r="E19" s="2" t="s">
        <v>122</v>
      </c>
      <c r="I19" s="2"/>
      <c r="J19" s="39"/>
      <c r="K19" s="8"/>
      <c r="L19" s="8"/>
      <c r="M19" s="9"/>
      <c r="N19" s="8"/>
    </row>
    <row r="20" spans="2:14" s="1" customFormat="1" ht="19.5" customHeight="1">
      <c r="B20" s="11"/>
      <c r="C20" s="1" t="s">
        <v>333</v>
      </c>
      <c r="D20" s="32">
        <f>D17*4.4032</f>
        <v>373.49232537600005</v>
      </c>
      <c r="E20" s="4" t="s">
        <v>344</v>
      </c>
      <c r="J20" s="39"/>
      <c r="K20" s="8"/>
      <c r="L20" s="8"/>
      <c r="M20" s="9"/>
      <c r="N20" s="8"/>
    </row>
    <row r="21" spans="2:14" s="1" customFormat="1" ht="16.5" customHeight="1">
      <c r="B21" s="11"/>
      <c r="D21" s="31"/>
      <c r="J21" s="39"/>
      <c r="K21" s="8"/>
      <c r="L21" s="8"/>
      <c r="M21" s="9"/>
      <c r="N21" s="8"/>
    </row>
    <row r="22" spans="1:14" s="1" customFormat="1" ht="19.5" customHeight="1">
      <c r="A22" s="14"/>
      <c r="C22" s="1" t="s">
        <v>390</v>
      </c>
      <c r="D22" s="25"/>
      <c r="H22" s="12"/>
      <c r="J22" s="4"/>
      <c r="K22" s="4"/>
      <c r="L22" s="4"/>
      <c r="M22" s="4"/>
      <c r="N22" s="4"/>
    </row>
    <row r="23" spans="1:14" s="1" customFormat="1" ht="4.5" customHeight="1">
      <c r="A23" s="14"/>
      <c r="C23" s="44"/>
      <c r="D23" s="46"/>
      <c r="E23" s="45"/>
      <c r="F23" s="45"/>
      <c r="G23" s="45"/>
      <c r="H23" s="47"/>
      <c r="I23" s="45"/>
      <c r="J23" s="45"/>
      <c r="K23" s="45"/>
      <c r="L23" s="45"/>
      <c r="M23" s="45"/>
      <c r="N23" s="48"/>
    </row>
    <row r="24" spans="1:14" s="1" customFormat="1" ht="19.5" customHeight="1">
      <c r="A24" s="14"/>
      <c r="C24" s="49"/>
      <c r="D24" s="4" t="s">
        <v>380</v>
      </c>
      <c r="E24" s="4"/>
      <c r="F24" s="4"/>
      <c r="G24" s="4"/>
      <c r="H24" s="43"/>
      <c r="I24" s="4"/>
      <c r="J24" s="4" t="s">
        <v>379</v>
      </c>
      <c r="K24" s="4"/>
      <c r="L24" s="4"/>
      <c r="M24" s="4"/>
      <c r="N24" s="6"/>
    </row>
    <row r="25" spans="1:14" s="1" customFormat="1" ht="19.5" customHeight="1">
      <c r="A25" s="14"/>
      <c r="C25" s="49"/>
      <c r="D25" s="39">
        <v>1</v>
      </c>
      <c r="E25" s="1" t="s">
        <v>346</v>
      </c>
      <c r="F25" s="4"/>
      <c r="G25" s="8" t="s">
        <v>333</v>
      </c>
      <c r="H25" s="40">
        <f>D25*10</f>
        <v>10</v>
      </c>
      <c r="I25" s="4" t="s">
        <v>117</v>
      </c>
      <c r="J25" s="39">
        <v>1</v>
      </c>
      <c r="K25" s="8" t="s">
        <v>351</v>
      </c>
      <c r="L25" s="8" t="s">
        <v>333</v>
      </c>
      <c r="M25" s="56">
        <f>J25*(1/3600)</f>
        <v>0.0002777777777777778</v>
      </c>
      <c r="N25" s="6" t="s">
        <v>342</v>
      </c>
    </row>
    <row r="26" spans="1:14" s="1" customFormat="1" ht="19.5" customHeight="1">
      <c r="A26" s="14"/>
      <c r="C26" s="49"/>
      <c r="D26" s="39">
        <v>1</v>
      </c>
      <c r="E26" s="8" t="s">
        <v>347</v>
      </c>
      <c r="F26" s="4"/>
      <c r="G26" s="10" t="s">
        <v>333</v>
      </c>
      <c r="H26" s="40">
        <f>D26*1000</f>
        <v>1000</v>
      </c>
      <c r="I26" s="4" t="s">
        <v>117</v>
      </c>
      <c r="J26" s="39">
        <v>1</v>
      </c>
      <c r="K26" s="10" t="s">
        <v>352</v>
      </c>
      <c r="L26" s="10" t="s">
        <v>333</v>
      </c>
      <c r="M26" s="55">
        <f>J26*(1/3600)*10^3</f>
        <v>0.2777777777777778</v>
      </c>
      <c r="N26" s="6" t="s">
        <v>342</v>
      </c>
    </row>
    <row r="27" spans="1:14" s="1" customFormat="1" ht="19.5" customHeight="1">
      <c r="A27" s="14"/>
      <c r="C27" s="49"/>
      <c r="D27" s="39">
        <v>1</v>
      </c>
      <c r="E27" s="8" t="s">
        <v>357</v>
      </c>
      <c r="F27" s="4"/>
      <c r="G27" s="10" t="s">
        <v>333</v>
      </c>
      <c r="H27" s="40">
        <f>D27*0.0254</f>
        <v>0.0254</v>
      </c>
      <c r="I27" s="4" t="s">
        <v>117</v>
      </c>
      <c r="J27" s="39">
        <v>1</v>
      </c>
      <c r="K27" s="8" t="s">
        <v>356</v>
      </c>
      <c r="L27" s="4" t="s">
        <v>333</v>
      </c>
      <c r="M27" s="40">
        <f>J27*0.0254</f>
        <v>0.0254</v>
      </c>
      <c r="N27" s="6" t="s">
        <v>342</v>
      </c>
    </row>
    <row r="28" spans="1:14" s="1" customFormat="1" ht="19.5" customHeight="1">
      <c r="A28" s="14"/>
      <c r="C28" s="49"/>
      <c r="D28" s="39">
        <v>1</v>
      </c>
      <c r="E28" s="8" t="s">
        <v>348</v>
      </c>
      <c r="F28" s="4"/>
      <c r="G28" s="10" t="s">
        <v>333</v>
      </c>
      <c r="H28" s="40">
        <f>D28*0.3048</f>
        <v>0.3048</v>
      </c>
      <c r="I28" s="4" t="s">
        <v>117</v>
      </c>
      <c r="J28" s="39">
        <v>1</v>
      </c>
      <c r="K28" s="8" t="s">
        <v>353</v>
      </c>
      <c r="L28" s="4" t="s">
        <v>333</v>
      </c>
      <c r="M28" s="40">
        <f>J28*0.3048</f>
        <v>0.3048</v>
      </c>
      <c r="N28" s="6" t="s">
        <v>342</v>
      </c>
    </row>
    <row r="29" spans="1:14" s="1" customFormat="1" ht="19.5" customHeight="1">
      <c r="A29" s="14"/>
      <c r="C29" s="49"/>
      <c r="D29" s="39">
        <v>1</v>
      </c>
      <c r="E29" s="4" t="s">
        <v>349</v>
      </c>
      <c r="F29" s="4"/>
      <c r="G29" s="4" t="s">
        <v>118</v>
      </c>
      <c r="H29" s="40">
        <f>D29*1609.34</f>
        <v>1609.34</v>
      </c>
      <c r="I29" s="4" t="s">
        <v>117</v>
      </c>
      <c r="J29" s="39">
        <v>1</v>
      </c>
      <c r="K29" s="8" t="s">
        <v>354</v>
      </c>
      <c r="L29" s="4" t="s">
        <v>333</v>
      </c>
      <c r="M29" s="40">
        <f>J29*0.00508</f>
        <v>0.00508</v>
      </c>
      <c r="N29" s="6" t="s">
        <v>342</v>
      </c>
    </row>
    <row r="30" spans="1:14" s="1" customFormat="1" ht="19.5" customHeight="1">
      <c r="A30" s="14"/>
      <c r="C30" s="49"/>
      <c r="D30" s="39">
        <v>1</v>
      </c>
      <c r="E30" s="4" t="s">
        <v>350</v>
      </c>
      <c r="F30" s="4"/>
      <c r="G30" s="4" t="s">
        <v>118</v>
      </c>
      <c r="H30" s="40">
        <f>D30*0.9144</f>
        <v>0.9144</v>
      </c>
      <c r="I30" s="4" t="s">
        <v>117</v>
      </c>
      <c r="J30" s="39">
        <v>1</v>
      </c>
      <c r="K30" s="8" t="s">
        <v>355</v>
      </c>
      <c r="L30" s="4" t="s">
        <v>118</v>
      </c>
      <c r="M30" s="40">
        <f>J30*0.047</f>
        <v>0.047</v>
      </c>
      <c r="N30" s="6" t="s">
        <v>342</v>
      </c>
    </row>
    <row r="31" spans="1:14" s="1" customFormat="1" ht="4.5" customHeight="1">
      <c r="A31" s="14"/>
      <c r="C31" s="51"/>
      <c r="D31" s="52"/>
      <c r="E31" s="3"/>
      <c r="F31" s="3"/>
      <c r="G31" s="3"/>
      <c r="H31" s="53"/>
      <c r="I31" s="3"/>
      <c r="J31" s="3"/>
      <c r="K31" s="3"/>
      <c r="L31" s="3"/>
      <c r="M31" s="3"/>
      <c r="N31" s="54"/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  <row r="41" spans="1:8" s="1" customFormat="1" ht="19.5" customHeight="1">
      <c r="A41" s="14"/>
      <c r="D41" s="25"/>
      <c r="H41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N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24" customWidth="1"/>
    <col min="5" max="5" width="4.77734375" style="16" customWidth="1"/>
    <col min="6" max="7" width="3.3359375" style="16" customWidth="1"/>
    <col min="8" max="8" width="6.88671875" style="16" customWidth="1"/>
    <col min="9" max="9" width="6.5546875" style="16" customWidth="1"/>
    <col min="10" max="10" width="7.99609375" style="16" customWidth="1"/>
    <col min="11" max="11" width="6.4453125" style="16" customWidth="1"/>
    <col min="12" max="12" width="2.21484375" style="16" customWidth="1"/>
    <col min="13" max="13" width="8.21484375" style="16" customWidth="1"/>
    <col min="14" max="14" width="6.10546875" style="16" customWidth="1"/>
    <col min="15" max="16384" width="8.88671875" style="16" customWidth="1"/>
  </cols>
  <sheetData>
    <row r="1" spans="1:14" ht="19.5" customHeight="1">
      <c r="A1" s="5" t="s">
        <v>375</v>
      </c>
      <c r="B1" s="17"/>
      <c r="C1" s="18"/>
      <c r="D1" s="26"/>
      <c r="E1" s="18"/>
      <c r="F1" s="18"/>
      <c r="G1" s="18"/>
      <c r="H1" s="19"/>
      <c r="I1" s="18"/>
      <c r="J1" s="18"/>
      <c r="K1" s="18"/>
      <c r="L1" s="18"/>
      <c r="M1" s="18"/>
      <c r="N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376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386</v>
      </c>
    </row>
    <row r="6" ht="19.5" customHeight="1">
      <c r="B6" s="22" t="s">
        <v>359</v>
      </c>
    </row>
    <row r="7" ht="19.5" customHeight="1">
      <c r="B7" s="22" t="s">
        <v>360</v>
      </c>
    </row>
    <row r="8" ht="7.5" customHeight="1">
      <c r="B8" s="22"/>
    </row>
    <row r="9" ht="19.5" customHeight="1">
      <c r="B9" s="59" t="s">
        <v>385</v>
      </c>
    </row>
    <row r="10" ht="19.5" customHeight="1">
      <c r="B10" s="36"/>
    </row>
    <row r="11" ht="19.5" customHeight="1">
      <c r="B11" s="1" t="s">
        <v>276</v>
      </c>
    </row>
    <row r="12" ht="8.25" customHeight="1">
      <c r="B12" s="1"/>
    </row>
    <row r="13" spans="2:14" s="1" customFormat="1" ht="19.5" customHeight="1">
      <c r="B13" s="11" t="s">
        <v>377</v>
      </c>
      <c r="C13" s="11"/>
      <c r="D13" s="25"/>
      <c r="E13" s="25"/>
      <c r="F13" s="24" t="s">
        <v>358</v>
      </c>
      <c r="G13" s="11" t="s">
        <v>277</v>
      </c>
      <c r="H13" s="13">
        <v>75</v>
      </c>
      <c r="I13" s="2" t="s">
        <v>365</v>
      </c>
      <c r="J13" s="10"/>
      <c r="K13" s="10"/>
      <c r="L13" s="10"/>
      <c r="M13" s="10"/>
      <c r="N13" s="10"/>
    </row>
    <row r="14" spans="2:14" s="1" customFormat="1" ht="19.5" customHeight="1">
      <c r="B14" s="11" t="s">
        <v>361</v>
      </c>
      <c r="C14" s="11"/>
      <c r="D14" s="25"/>
      <c r="E14" s="25"/>
      <c r="F14" s="24" t="s">
        <v>383</v>
      </c>
      <c r="G14" s="11" t="s">
        <v>277</v>
      </c>
      <c r="H14" s="13">
        <v>3</v>
      </c>
      <c r="I14" s="1" t="s">
        <v>362</v>
      </c>
      <c r="J14" s="39"/>
      <c r="K14" s="8"/>
      <c r="L14" s="8"/>
      <c r="M14" s="9"/>
      <c r="N14" s="10"/>
    </row>
    <row r="15" spans="1:14" s="1" customFormat="1" ht="7.5" customHeight="1">
      <c r="A15" s="14"/>
      <c r="B15" s="14"/>
      <c r="D15" s="25"/>
      <c r="I15" s="2"/>
      <c r="J15" s="39"/>
      <c r="K15" s="8"/>
      <c r="L15" s="8"/>
      <c r="M15" s="9"/>
      <c r="N15" s="8"/>
    </row>
    <row r="16" spans="2:14" s="1" customFormat="1" ht="19.5" customHeight="1">
      <c r="B16" s="24" t="s">
        <v>363</v>
      </c>
      <c r="C16" s="1" t="s">
        <v>277</v>
      </c>
      <c r="D16" s="12">
        <f>(H13/H14)/3600</f>
        <v>0.006944444444444444</v>
      </c>
      <c r="E16" s="1" t="s">
        <v>364</v>
      </c>
      <c r="H16" s="2"/>
      <c r="I16" s="2"/>
      <c r="J16" s="39"/>
      <c r="K16" s="8"/>
      <c r="L16" s="8"/>
      <c r="M16" s="9"/>
      <c r="N16" s="10"/>
    </row>
    <row r="17" spans="2:14" s="1" customFormat="1" ht="19.5" customHeight="1">
      <c r="B17" s="24" t="s">
        <v>129</v>
      </c>
      <c r="C17" s="1" t="s">
        <v>277</v>
      </c>
      <c r="D17" s="125">
        <f>((4*H13/3600)/(3.141592*H14))^0.5*10^3</f>
        <v>94.03160703932006</v>
      </c>
      <c r="E17" s="2" t="s">
        <v>119</v>
      </c>
      <c r="I17" s="2"/>
      <c r="J17" s="39"/>
      <c r="K17" s="8"/>
      <c r="L17" s="8"/>
      <c r="M17" s="9"/>
      <c r="N17" s="8"/>
    </row>
    <row r="18" spans="2:14" s="1" customFormat="1" ht="19.5" customHeight="1">
      <c r="B18" s="24"/>
      <c r="C18" s="1" t="s">
        <v>277</v>
      </c>
      <c r="D18" s="32">
        <f>D$17*10^-1</f>
        <v>9.403160703932008</v>
      </c>
      <c r="E18" s="1" t="s">
        <v>366</v>
      </c>
      <c r="I18" s="2"/>
      <c r="J18" s="39"/>
      <c r="K18" s="8"/>
      <c r="L18" s="8"/>
      <c r="M18" s="9"/>
      <c r="N18" s="8"/>
    </row>
    <row r="19" spans="2:14" s="1" customFormat="1" ht="19.5" customHeight="1">
      <c r="B19" s="11"/>
      <c r="C19" s="1" t="s">
        <v>277</v>
      </c>
      <c r="D19" s="12">
        <f>D$17/25.4</f>
        <v>3.7020317732015777</v>
      </c>
      <c r="E19" s="8" t="s">
        <v>369</v>
      </c>
      <c r="I19" s="2"/>
      <c r="J19" s="39"/>
      <c r="K19" s="8"/>
      <c r="L19" s="8"/>
      <c r="M19" s="9"/>
      <c r="N19" s="8"/>
    </row>
    <row r="20" spans="2:14" s="1" customFormat="1" ht="19.5" customHeight="1">
      <c r="B20" s="11"/>
      <c r="C20" s="1" t="s">
        <v>277</v>
      </c>
      <c r="D20" s="12">
        <f>D$17*0.00328</f>
        <v>0.3084236710889698</v>
      </c>
      <c r="E20" s="8" t="s">
        <v>371</v>
      </c>
      <c r="J20" s="39"/>
      <c r="K20" s="8"/>
      <c r="L20" s="8"/>
      <c r="M20" s="9"/>
      <c r="N20" s="8"/>
    </row>
    <row r="21" spans="2:14" s="1" customFormat="1" ht="16.5" customHeight="1">
      <c r="B21" s="11"/>
      <c r="D21" s="31"/>
      <c r="J21" s="39"/>
      <c r="K21" s="8"/>
      <c r="L21" s="8"/>
      <c r="M21" s="9"/>
      <c r="N21" s="8"/>
    </row>
    <row r="22" spans="1:14" s="1" customFormat="1" ht="19.5" customHeight="1">
      <c r="A22" s="14"/>
      <c r="C22" s="1" t="s">
        <v>390</v>
      </c>
      <c r="D22" s="25"/>
      <c r="H22" s="12"/>
      <c r="J22" s="4"/>
      <c r="K22" s="4"/>
      <c r="L22" s="4"/>
      <c r="M22" s="4"/>
      <c r="N22" s="4"/>
    </row>
    <row r="23" spans="1:14" s="1" customFormat="1" ht="4.5" customHeight="1">
      <c r="A23" s="14"/>
      <c r="C23" s="44"/>
      <c r="D23" s="46"/>
      <c r="E23" s="45"/>
      <c r="F23" s="45"/>
      <c r="G23" s="45"/>
      <c r="H23" s="47"/>
      <c r="I23" s="45"/>
      <c r="J23" s="45"/>
      <c r="K23" s="45"/>
      <c r="L23" s="45"/>
      <c r="M23" s="45"/>
      <c r="N23" s="48"/>
    </row>
    <row r="24" spans="1:14" s="1" customFormat="1" ht="19.5" customHeight="1">
      <c r="A24" s="14"/>
      <c r="C24" s="49"/>
      <c r="D24" s="4" t="s">
        <v>378</v>
      </c>
      <c r="E24" s="4"/>
      <c r="F24" s="4"/>
      <c r="G24" s="4"/>
      <c r="H24" s="43"/>
      <c r="I24" s="4"/>
      <c r="J24" s="4" t="s">
        <v>379</v>
      </c>
      <c r="K24" s="4"/>
      <c r="L24" s="4"/>
      <c r="M24" s="4"/>
      <c r="N24" s="6"/>
    </row>
    <row r="25" spans="1:14" s="1" customFormat="1" ht="19.5" customHeight="1">
      <c r="A25" s="14"/>
      <c r="C25" s="49"/>
      <c r="D25" s="39">
        <v>1</v>
      </c>
      <c r="E25" s="2" t="s">
        <v>343</v>
      </c>
      <c r="F25" s="4"/>
      <c r="G25" s="8" t="s">
        <v>277</v>
      </c>
      <c r="H25" s="40">
        <f>D25*0.06</f>
        <v>0.06</v>
      </c>
      <c r="I25" s="2" t="s">
        <v>365</v>
      </c>
      <c r="J25" s="39">
        <v>1</v>
      </c>
      <c r="K25" s="8" t="s">
        <v>367</v>
      </c>
      <c r="L25" s="8" t="s">
        <v>277</v>
      </c>
      <c r="M25" s="56">
        <f>J25*(1/3600)</f>
        <v>0.0002777777777777778</v>
      </c>
      <c r="N25" s="6" t="s">
        <v>362</v>
      </c>
    </row>
    <row r="26" spans="1:14" s="1" customFormat="1" ht="19.5" customHeight="1">
      <c r="A26" s="14"/>
      <c r="C26" s="49"/>
      <c r="D26" s="39">
        <v>1</v>
      </c>
      <c r="E26" s="2" t="s">
        <v>122</v>
      </c>
      <c r="F26" s="4"/>
      <c r="G26" s="10" t="s">
        <v>277</v>
      </c>
      <c r="H26" s="40">
        <f>D26*0.02832</f>
        <v>0.02832</v>
      </c>
      <c r="I26" s="2" t="s">
        <v>365</v>
      </c>
      <c r="J26" s="39">
        <v>1</v>
      </c>
      <c r="K26" s="10" t="s">
        <v>368</v>
      </c>
      <c r="L26" s="10" t="s">
        <v>277</v>
      </c>
      <c r="M26" s="55">
        <f>J26*(1/3600)*10^3</f>
        <v>0.2777777777777778</v>
      </c>
      <c r="N26" s="6" t="s">
        <v>362</v>
      </c>
    </row>
    <row r="27" spans="1:14" s="1" customFormat="1" ht="19.5" customHeight="1">
      <c r="A27" s="14"/>
      <c r="C27" s="49"/>
      <c r="D27" s="39">
        <v>1</v>
      </c>
      <c r="E27" s="2" t="s">
        <v>387</v>
      </c>
      <c r="F27" s="4"/>
      <c r="G27" s="10" t="s">
        <v>277</v>
      </c>
      <c r="H27" s="40">
        <f>D27*101.935</f>
        <v>101.935</v>
      </c>
      <c r="I27" s="2" t="s">
        <v>365</v>
      </c>
      <c r="J27" s="39">
        <v>1</v>
      </c>
      <c r="K27" s="8" t="s">
        <v>370</v>
      </c>
      <c r="L27" s="4" t="s">
        <v>277</v>
      </c>
      <c r="M27" s="40">
        <f>J27*0.0254</f>
        <v>0.0254</v>
      </c>
      <c r="N27" s="6" t="s">
        <v>362</v>
      </c>
    </row>
    <row r="28" spans="1:14" s="1" customFormat="1" ht="19.5" customHeight="1">
      <c r="A28" s="14"/>
      <c r="C28" s="49"/>
      <c r="D28" s="39">
        <v>1</v>
      </c>
      <c r="E28" s="4" t="s">
        <v>388</v>
      </c>
      <c r="F28" s="4"/>
      <c r="G28" s="10" t="s">
        <v>277</v>
      </c>
      <c r="H28" s="40">
        <f>D28*0.02271</f>
        <v>0.02271</v>
      </c>
      <c r="I28" s="2" t="s">
        <v>365</v>
      </c>
      <c r="J28" s="39">
        <v>1</v>
      </c>
      <c r="K28" s="8" t="s">
        <v>372</v>
      </c>
      <c r="L28" s="4" t="s">
        <v>277</v>
      </c>
      <c r="M28" s="40">
        <f>J28*0.3048</f>
        <v>0.3048</v>
      </c>
      <c r="N28" s="6" t="s">
        <v>362</v>
      </c>
    </row>
    <row r="29" spans="1:14" s="1" customFormat="1" ht="19.5" customHeight="1">
      <c r="A29" s="14"/>
      <c r="C29" s="49"/>
      <c r="D29" s="39"/>
      <c r="E29" s="4" t="s">
        <v>389</v>
      </c>
      <c r="F29" s="4"/>
      <c r="G29" s="4"/>
      <c r="H29" s="40"/>
      <c r="I29" s="4"/>
      <c r="J29" s="39">
        <v>1</v>
      </c>
      <c r="K29" s="8" t="s">
        <v>373</v>
      </c>
      <c r="L29" s="4" t="s">
        <v>277</v>
      </c>
      <c r="M29" s="40">
        <f>J29*0.00508</f>
        <v>0.00508</v>
      </c>
      <c r="N29" s="6" t="s">
        <v>362</v>
      </c>
    </row>
    <row r="30" spans="1:14" s="1" customFormat="1" ht="19.5" customHeight="1">
      <c r="A30" s="14"/>
      <c r="C30" s="49"/>
      <c r="D30" s="39"/>
      <c r="E30" s="4"/>
      <c r="F30" s="4"/>
      <c r="G30" s="4"/>
      <c r="H30" s="40"/>
      <c r="I30" s="4"/>
      <c r="J30" s="39">
        <v>1</v>
      </c>
      <c r="K30" s="8" t="s">
        <v>374</v>
      </c>
      <c r="L30" s="4" t="s">
        <v>277</v>
      </c>
      <c r="M30" s="40">
        <f>J30*0.047</f>
        <v>0.047</v>
      </c>
      <c r="N30" s="6" t="s">
        <v>362</v>
      </c>
    </row>
    <row r="31" spans="1:14" s="1" customFormat="1" ht="4.5" customHeight="1">
      <c r="A31" s="14"/>
      <c r="C31" s="51"/>
      <c r="D31" s="52"/>
      <c r="E31" s="3"/>
      <c r="F31" s="3"/>
      <c r="G31" s="3"/>
      <c r="H31" s="53"/>
      <c r="I31" s="3"/>
      <c r="J31" s="3"/>
      <c r="K31" s="3"/>
      <c r="L31" s="3"/>
      <c r="M31" s="3"/>
      <c r="N31" s="54"/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  <row r="41" spans="1:8" s="1" customFormat="1" ht="19.5" customHeight="1">
      <c r="A41" s="14"/>
      <c r="D41" s="25"/>
      <c r="H41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N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24" customWidth="1"/>
    <col min="5" max="5" width="4.77734375" style="16" customWidth="1"/>
    <col min="6" max="7" width="3.3359375" style="16" customWidth="1"/>
    <col min="8" max="8" width="6.88671875" style="16" customWidth="1"/>
    <col min="9" max="9" width="6.5546875" style="16" customWidth="1"/>
    <col min="10" max="10" width="7.99609375" style="16" customWidth="1"/>
    <col min="11" max="11" width="6.4453125" style="16" customWidth="1"/>
    <col min="12" max="12" width="2.21484375" style="16" customWidth="1"/>
    <col min="13" max="13" width="8.21484375" style="16" customWidth="1"/>
    <col min="14" max="14" width="6.10546875" style="16" customWidth="1"/>
    <col min="15" max="16384" width="8.88671875" style="16" customWidth="1"/>
  </cols>
  <sheetData>
    <row r="1" spans="1:14" ht="19.5" customHeight="1">
      <c r="A1" s="5" t="s">
        <v>393</v>
      </c>
      <c r="B1" s="17"/>
      <c r="C1" s="18"/>
      <c r="D1" s="26"/>
      <c r="E1" s="18"/>
      <c r="F1" s="18"/>
      <c r="G1" s="18"/>
      <c r="H1" s="19"/>
      <c r="I1" s="18"/>
      <c r="J1" s="18"/>
      <c r="K1" s="18"/>
      <c r="L1" s="18"/>
      <c r="M1" s="18"/>
      <c r="N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395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392</v>
      </c>
    </row>
    <row r="6" ht="19.5" customHeight="1">
      <c r="B6" s="22" t="s">
        <v>391</v>
      </c>
    </row>
    <row r="7" ht="19.5" customHeight="1">
      <c r="B7" s="22" t="s">
        <v>340</v>
      </c>
    </row>
    <row r="8" ht="7.5" customHeight="1">
      <c r="B8" s="22"/>
    </row>
    <row r="9" ht="19.5" customHeight="1">
      <c r="B9" s="59" t="s">
        <v>394</v>
      </c>
    </row>
    <row r="10" ht="19.5" customHeight="1">
      <c r="B10" s="36"/>
    </row>
    <row r="11" ht="19.5" customHeight="1">
      <c r="B11" s="1" t="s">
        <v>559</v>
      </c>
    </row>
    <row r="12" ht="8.25" customHeight="1">
      <c r="B12" s="1"/>
    </row>
    <row r="13" spans="2:14" s="1" customFormat="1" ht="19.5" customHeight="1">
      <c r="B13" s="11" t="s">
        <v>560</v>
      </c>
      <c r="C13" s="11"/>
      <c r="D13" s="25"/>
      <c r="E13" s="25"/>
      <c r="F13" s="24" t="s">
        <v>561</v>
      </c>
      <c r="G13" s="11" t="s">
        <v>562</v>
      </c>
      <c r="H13" s="13">
        <v>200</v>
      </c>
      <c r="I13" s="1" t="s">
        <v>563</v>
      </c>
      <c r="J13" s="4"/>
      <c r="K13" s="4"/>
      <c r="L13" s="4"/>
      <c r="M13" s="4"/>
      <c r="N13" s="4"/>
    </row>
    <row r="14" spans="2:14" s="1" customFormat="1" ht="19.5" customHeight="1">
      <c r="B14" s="11" t="s">
        <v>564</v>
      </c>
      <c r="C14" s="11"/>
      <c r="D14" s="25"/>
      <c r="E14" s="25"/>
      <c r="F14" s="24" t="s">
        <v>565</v>
      </c>
      <c r="G14" s="11" t="s">
        <v>562</v>
      </c>
      <c r="H14" s="13">
        <v>150</v>
      </c>
      <c r="I14" s="1" t="s">
        <v>566</v>
      </c>
      <c r="J14" s="129"/>
      <c r="K14" s="41"/>
      <c r="L14" s="41"/>
      <c r="M14" s="130"/>
      <c r="N14" s="4"/>
    </row>
    <row r="15" spans="1:14" s="1" customFormat="1" ht="7.5" customHeight="1">
      <c r="A15" s="14"/>
      <c r="B15" s="14"/>
      <c r="D15" s="25"/>
      <c r="J15" s="129"/>
      <c r="K15" s="41"/>
      <c r="L15" s="41"/>
      <c r="M15" s="130"/>
      <c r="N15" s="41"/>
    </row>
    <row r="16" spans="2:14" s="1" customFormat="1" ht="19.5" customHeight="1">
      <c r="B16" s="24" t="s">
        <v>567</v>
      </c>
      <c r="C16" s="1" t="s">
        <v>562</v>
      </c>
      <c r="D16" s="12">
        <f>3.141592*H14^2*10^-6/4</f>
        <v>0.017671455000000003</v>
      </c>
      <c r="E16" s="1" t="s">
        <v>568</v>
      </c>
      <c r="J16" s="129"/>
      <c r="K16" s="41"/>
      <c r="L16" s="41"/>
      <c r="M16" s="130"/>
      <c r="N16" s="4"/>
    </row>
    <row r="17" spans="2:14" s="1" customFormat="1" ht="19.5" customHeight="1">
      <c r="B17" s="24" t="s">
        <v>569</v>
      </c>
      <c r="C17" s="1" t="s">
        <v>562</v>
      </c>
      <c r="D17" s="128">
        <f>(H13/D16)/3600</f>
        <v>3.143801999074527</v>
      </c>
      <c r="E17" s="4" t="s">
        <v>570</v>
      </c>
      <c r="J17" s="129"/>
      <c r="K17" s="41"/>
      <c r="L17" s="41"/>
      <c r="M17" s="130"/>
      <c r="N17" s="41"/>
    </row>
    <row r="18" spans="2:14" s="1" customFormat="1" ht="19.5" customHeight="1">
      <c r="B18" s="24"/>
      <c r="C18" s="1" t="s">
        <v>562</v>
      </c>
      <c r="D18" s="32">
        <f>D$17*3600</f>
        <v>11317.687196668297</v>
      </c>
      <c r="E18" s="41" t="s">
        <v>571</v>
      </c>
      <c r="J18" s="129"/>
      <c r="K18" s="41"/>
      <c r="L18" s="41"/>
      <c r="M18" s="130"/>
      <c r="N18" s="41"/>
    </row>
    <row r="19" spans="2:14" s="1" customFormat="1" ht="19.5" customHeight="1">
      <c r="B19" s="11"/>
      <c r="C19" s="1" t="s">
        <v>562</v>
      </c>
      <c r="D19" s="31">
        <f>D$17*(1/25.4)*1000</f>
        <v>123.77173224702861</v>
      </c>
      <c r="E19" s="41" t="s">
        <v>572</v>
      </c>
      <c r="J19" s="129"/>
      <c r="K19" s="41"/>
      <c r="L19" s="41"/>
      <c r="M19" s="130"/>
      <c r="N19" s="41"/>
    </row>
    <row r="20" spans="2:14" s="1" customFormat="1" ht="19.5" customHeight="1">
      <c r="B20" s="11"/>
      <c r="C20" s="1" t="s">
        <v>562</v>
      </c>
      <c r="D20" s="31">
        <f>D$17*3.281</f>
        <v>10.314814358963524</v>
      </c>
      <c r="E20" s="41" t="s">
        <v>573</v>
      </c>
      <c r="J20" s="129"/>
      <c r="K20" s="41"/>
      <c r="L20" s="41"/>
      <c r="M20" s="130"/>
      <c r="N20" s="41"/>
    </row>
    <row r="21" spans="2:14" s="1" customFormat="1" ht="19.5" customHeight="1">
      <c r="B21" s="11"/>
      <c r="C21" s="1" t="s">
        <v>562</v>
      </c>
      <c r="D21" s="62">
        <f>D$17*2.237</f>
        <v>7.032685071929717</v>
      </c>
      <c r="E21" s="41" t="s">
        <v>574</v>
      </c>
      <c r="J21" s="129"/>
      <c r="K21" s="41"/>
      <c r="L21" s="41"/>
      <c r="M21" s="130"/>
      <c r="N21" s="41"/>
    </row>
    <row r="22" spans="2:14" s="1" customFormat="1" ht="16.5" customHeight="1">
      <c r="B22" s="11"/>
      <c r="D22" s="31"/>
      <c r="J22" s="129"/>
      <c r="K22" s="41"/>
      <c r="L22" s="41"/>
      <c r="M22" s="130"/>
      <c r="N22" s="41"/>
    </row>
    <row r="23" spans="1:14" s="1" customFormat="1" ht="19.5" customHeight="1">
      <c r="A23" s="14"/>
      <c r="C23" s="1" t="s">
        <v>575</v>
      </c>
      <c r="D23" s="25"/>
      <c r="H23" s="12"/>
      <c r="J23" s="4"/>
      <c r="K23" s="4"/>
      <c r="L23" s="4"/>
      <c r="M23" s="4"/>
      <c r="N23" s="4"/>
    </row>
    <row r="24" spans="1:14" s="1" customFormat="1" ht="4.5" customHeight="1">
      <c r="A24" s="14"/>
      <c r="C24" s="44"/>
      <c r="D24" s="46"/>
      <c r="E24" s="45"/>
      <c r="F24" s="45"/>
      <c r="G24" s="45"/>
      <c r="H24" s="47"/>
      <c r="I24" s="45"/>
      <c r="J24" s="45"/>
      <c r="K24" s="45"/>
      <c r="L24" s="45"/>
      <c r="M24" s="45"/>
      <c r="N24" s="48"/>
    </row>
    <row r="25" spans="1:14" s="1" customFormat="1" ht="19.5" customHeight="1">
      <c r="A25" s="14"/>
      <c r="C25" s="49"/>
      <c r="D25" s="4" t="s">
        <v>576</v>
      </c>
      <c r="E25" s="4"/>
      <c r="F25" s="4"/>
      <c r="G25" s="4"/>
      <c r="H25" s="43"/>
      <c r="I25" s="4"/>
      <c r="J25" s="4" t="s">
        <v>577</v>
      </c>
      <c r="L25" s="41"/>
      <c r="M25" s="131"/>
      <c r="N25" s="6"/>
    </row>
    <row r="26" spans="1:14" s="1" customFormat="1" ht="19.5" customHeight="1">
      <c r="A26" s="14"/>
      <c r="C26" s="49"/>
      <c r="D26" s="129">
        <v>1</v>
      </c>
      <c r="E26" s="1" t="s">
        <v>578</v>
      </c>
      <c r="F26" s="4"/>
      <c r="G26" s="41" t="s">
        <v>562</v>
      </c>
      <c r="H26" s="131">
        <f>D26*0.06</f>
        <v>0.06</v>
      </c>
      <c r="I26" s="1" t="s">
        <v>563</v>
      </c>
      <c r="J26" s="129">
        <v>1</v>
      </c>
      <c r="K26" s="1" t="s">
        <v>579</v>
      </c>
      <c r="L26" s="41" t="s">
        <v>562</v>
      </c>
      <c r="M26" s="131">
        <f>J26*10</f>
        <v>10</v>
      </c>
      <c r="N26" s="6" t="s">
        <v>566</v>
      </c>
    </row>
    <row r="27" spans="1:14" s="1" customFormat="1" ht="19.5" customHeight="1">
      <c r="A27" s="14"/>
      <c r="C27" s="49"/>
      <c r="D27" s="129">
        <v>1</v>
      </c>
      <c r="E27" s="1" t="s">
        <v>580</v>
      </c>
      <c r="F27" s="4"/>
      <c r="G27" s="4" t="s">
        <v>562</v>
      </c>
      <c r="H27" s="131">
        <f>D27*0.02832</f>
        <v>0.02832</v>
      </c>
      <c r="I27" s="1" t="s">
        <v>563</v>
      </c>
      <c r="J27" s="129">
        <v>1</v>
      </c>
      <c r="K27" s="41" t="s">
        <v>581</v>
      </c>
      <c r="L27" s="4" t="s">
        <v>562</v>
      </c>
      <c r="M27" s="131">
        <f>J27*1000</f>
        <v>1000</v>
      </c>
      <c r="N27" s="6" t="s">
        <v>566</v>
      </c>
    </row>
    <row r="28" spans="1:14" s="1" customFormat="1" ht="19.5" customHeight="1">
      <c r="A28" s="14"/>
      <c r="C28" s="49"/>
      <c r="D28" s="129">
        <v>1</v>
      </c>
      <c r="E28" s="1" t="s">
        <v>582</v>
      </c>
      <c r="F28" s="4"/>
      <c r="G28" s="4" t="s">
        <v>562</v>
      </c>
      <c r="H28" s="131">
        <f>D28*101.935</f>
        <v>101.935</v>
      </c>
      <c r="I28" s="1" t="s">
        <v>563</v>
      </c>
      <c r="J28" s="129">
        <v>1</v>
      </c>
      <c r="K28" s="41" t="s">
        <v>583</v>
      </c>
      <c r="L28" s="4" t="s">
        <v>562</v>
      </c>
      <c r="M28" s="131">
        <f>J28*0.0254</f>
        <v>0.0254</v>
      </c>
      <c r="N28" s="6" t="s">
        <v>566</v>
      </c>
    </row>
    <row r="29" spans="1:14" s="1" customFormat="1" ht="19.5" customHeight="1">
      <c r="A29" s="14"/>
      <c r="C29" s="49"/>
      <c r="D29" s="129">
        <v>1</v>
      </c>
      <c r="E29" s="4" t="s">
        <v>584</v>
      </c>
      <c r="F29" s="4"/>
      <c r="G29" s="4" t="s">
        <v>562</v>
      </c>
      <c r="H29" s="131">
        <f>D29*0.02271</f>
        <v>0.02271</v>
      </c>
      <c r="I29" s="1" t="s">
        <v>563</v>
      </c>
      <c r="J29" s="129">
        <v>1</v>
      </c>
      <c r="K29" s="41" t="s">
        <v>585</v>
      </c>
      <c r="L29" s="4" t="s">
        <v>562</v>
      </c>
      <c r="M29" s="131">
        <f>J29*0.3048</f>
        <v>0.3048</v>
      </c>
      <c r="N29" s="6" t="s">
        <v>566</v>
      </c>
    </row>
    <row r="30" spans="1:14" s="1" customFormat="1" ht="19.5" customHeight="1">
      <c r="A30" s="14"/>
      <c r="C30" s="49"/>
      <c r="D30" s="129"/>
      <c r="E30" s="4" t="s">
        <v>586</v>
      </c>
      <c r="F30" s="4"/>
      <c r="G30" s="4"/>
      <c r="H30" s="131"/>
      <c r="I30" s="4"/>
      <c r="J30" s="129">
        <v>1</v>
      </c>
      <c r="K30" s="4" t="s">
        <v>587</v>
      </c>
      <c r="L30" s="4" t="s">
        <v>562</v>
      </c>
      <c r="M30" s="131">
        <f>J30*1609.34</f>
        <v>1609.34</v>
      </c>
      <c r="N30" s="6" t="s">
        <v>566</v>
      </c>
    </row>
    <row r="31" spans="1:14" s="1" customFormat="1" ht="19.5" customHeight="1">
      <c r="A31" s="14"/>
      <c r="C31" s="49"/>
      <c r="D31" s="129"/>
      <c r="E31" s="4"/>
      <c r="F31" s="4"/>
      <c r="G31" s="4"/>
      <c r="H31" s="131"/>
      <c r="I31" s="4"/>
      <c r="J31" s="129">
        <v>1</v>
      </c>
      <c r="K31" s="4" t="s">
        <v>588</v>
      </c>
      <c r="L31" s="4" t="s">
        <v>562</v>
      </c>
      <c r="M31" s="131">
        <f>J31*0.9144</f>
        <v>0.9144</v>
      </c>
      <c r="N31" s="6" t="s">
        <v>566</v>
      </c>
    </row>
    <row r="32" spans="1:14" s="1" customFormat="1" ht="4.5" customHeight="1">
      <c r="A32" s="14"/>
      <c r="C32" s="51"/>
      <c r="D32" s="52"/>
      <c r="E32" s="3"/>
      <c r="F32" s="3"/>
      <c r="G32" s="3"/>
      <c r="H32" s="53"/>
      <c r="I32" s="3"/>
      <c r="J32" s="3"/>
      <c r="K32" s="3"/>
      <c r="L32" s="3"/>
      <c r="M32" s="3"/>
      <c r="N32" s="54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  <row r="41" spans="1:8" s="1" customFormat="1" ht="19.5" customHeight="1">
      <c r="A41" s="14"/>
      <c r="D41" s="25"/>
      <c r="H41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N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24" customWidth="1"/>
    <col min="5" max="5" width="4.77734375" style="16" customWidth="1"/>
    <col min="6" max="7" width="3.3359375" style="16" customWidth="1"/>
    <col min="8" max="8" width="6.88671875" style="16" customWidth="1"/>
    <col min="9" max="9" width="6.5546875" style="16" customWidth="1"/>
    <col min="10" max="10" width="7.99609375" style="16" customWidth="1"/>
    <col min="11" max="11" width="6.4453125" style="16" customWidth="1"/>
    <col min="12" max="12" width="2.21484375" style="16" customWidth="1"/>
    <col min="13" max="13" width="8.21484375" style="16" customWidth="1"/>
    <col min="14" max="14" width="6.10546875" style="16" customWidth="1"/>
    <col min="15" max="16384" width="8.88671875" style="16" customWidth="1"/>
  </cols>
  <sheetData>
    <row r="1" spans="1:14" ht="19.5" customHeight="1">
      <c r="A1" s="5" t="s">
        <v>318</v>
      </c>
      <c r="B1" s="17"/>
      <c r="C1" s="18"/>
      <c r="D1" s="26"/>
      <c r="E1" s="18"/>
      <c r="F1" s="18"/>
      <c r="G1" s="18"/>
      <c r="H1" s="19"/>
      <c r="I1" s="18"/>
      <c r="J1" s="18"/>
      <c r="K1" s="18"/>
      <c r="L1" s="18"/>
      <c r="M1" s="18"/>
      <c r="N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319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35" t="s">
        <v>308</v>
      </c>
    </row>
    <row r="6" ht="19.5" customHeight="1">
      <c r="B6" s="35" t="s">
        <v>309</v>
      </c>
    </row>
    <row r="7" ht="19.5" customHeight="1">
      <c r="B7" s="35" t="s">
        <v>310</v>
      </c>
    </row>
    <row r="8" ht="7.5" customHeight="1">
      <c r="B8" s="35"/>
    </row>
    <row r="9" ht="19.5" customHeight="1">
      <c r="B9" s="37" t="s">
        <v>278</v>
      </c>
    </row>
    <row r="10" ht="19.5" customHeight="1">
      <c r="B10" s="36"/>
    </row>
    <row r="11" ht="19.5" customHeight="1">
      <c r="B11" s="1" t="s">
        <v>276</v>
      </c>
    </row>
    <row r="12" ht="8.25" customHeight="1">
      <c r="B12" s="1"/>
    </row>
    <row r="13" spans="2:14" s="1" customFormat="1" ht="19.5" customHeight="1">
      <c r="B13" s="11" t="s">
        <v>325</v>
      </c>
      <c r="C13" s="11"/>
      <c r="D13" s="25"/>
      <c r="E13" s="25"/>
      <c r="F13" s="33" t="s">
        <v>312</v>
      </c>
      <c r="G13" s="11" t="s">
        <v>277</v>
      </c>
      <c r="H13" s="13">
        <v>1</v>
      </c>
      <c r="I13" s="1" t="s">
        <v>316</v>
      </c>
      <c r="J13" s="10"/>
      <c r="K13" s="10"/>
      <c r="L13" s="10"/>
      <c r="M13" s="10"/>
      <c r="N13" s="10"/>
    </row>
    <row r="14" spans="2:14" s="1" customFormat="1" ht="19.5" customHeight="1">
      <c r="B14" s="11" t="s">
        <v>326</v>
      </c>
      <c r="C14" s="11"/>
      <c r="D14" s="25"/>
      <c r="E14" s="25"/>
      <c r="F14" s="33" t="s">
        <v>311</v>
      </c>
      <c r="G14" s="11" t="s">
        <v>277</v>
      </c>
      <c r="H14" s="13">
        <v>1.2</v>
      </c>
      <c r="I14" s="1" t="s">
        <v>314</v>
      </c>
      <c r="J14" s="39"/>
      <c r="K14" s="8"/>
      <c r="L14" s="8"/>
      <c r="M14" s="9"/>
      <c r="N14" s="10"/>
    </row>
    <row r="15" spans="1:14" s="1" customFormat="1" ht="7.5" customHeight="1">
      <c r="A15" s="14"/>
      <c r="B15" s="14"/>
      <c r="D15" s="25"/>
      <c r="J15" s="39"/>
      <c r="K15" s="8"/>
      <c r="L15" s="8"/>
      <c r="M15" s="9"/>
      <c r="N15" s="8"/>
    </row>
    <row r="16" spans="2:14" s="1" customFormat="1" ht="19.5" customHeight="1">
      <c r="B16" s="33" t="s">
        <v>589</v>
      </c>
      <c r="C16" s="1" t="s">
        <v>562</v>
      </c>
      <c r="D16" s="125">
        <f>H13/H14*10^3</f>
        <v>833.3333333333334</v>
      </c>
      <c r="E16" s="1" t="s">
        <v>590</v>
      </c>
      <c r="J16" s="129"/>
      <c r="K16" s="41"/>
      <c r="L16" s="41"/>
      <c r="M16" s="130"/>
      <c r="N16" s="4"/>
    </row>
    <row r="17" spans="2:14" s="1" customFormat="1" ht="19.5" customHeight="1">
      <c r="B17" s="33"/>
      <c r="C17" s="1" t="s">
        <v>562</v>
      </c>
      <c r="D17" s="12">
        <f>D16*10^-3</f>
        <v>0.8333333333333334</v>
      </c>
      <c r="E17" s="1" t="s">
        <v>591</v>
      </c>
      <c r="J17" s="129"/>
      <c r="K17" s="41"/>
      <c r="L17" s="41"/>
      <c r="M17" s="130"/>
      <c r="N17" s="4"/>
    </row>
    <row r="18" spans="2:14" s="1" customFormat="1" ht="19.5" customHeight="1">
      <c r="B18" s="11"/>
      <c r="C18" s="1" t="s">
        <v>562</v>
      </c>
      <c r="D18" s="31">
        <f>D16*0.06243</f>
        <v>52.025</v>
      </c>
      <c r="E18" s="1" t="s">
        <v>592</v>
      </c>
      <c r="J18" s="129"/>
      <c r="K18" s="41"/>
      <c r="L18" s="41"/>
      <c r="M18" s="130"/>
      <c r="N18" s="41"/>
    </row>
    <row r="19" spans="2:14" s="1" customFormat="1" ht="19.5" customHeight="1">
      <c r="B19" s="11"/>
      <c r="C19" s="1" t="s">
        <v>562</v>
      </c>
      <c r="D19" s="12">
        <f>D16*3.613*10^-5</f>
        <v>0.030108333333333338</v>
      </c>
      <c r="E19" s="1" t="s">
        <v>593</v>
      </c>
      <c r="J19" s="129"/>
      <c r="K19" s="41"/>
      <c r="L19" s="41"/>
      <c r="M19" s="130"/>
      <c r="N19" s="41"/>
    </row>
    <row r="20" spans="2:14" s="1" customFormat="1" ht="16.5" customHeight="1">
      <c r="B20" s="11"/>
      <c r="D20" s="31"/>
      <c r="J20" s="129"/>
      <c r="K20" s="41"/>
      <c r="L20" s="41"/>
      <c r="M20" s="130"/>
      <c r="N20" s="41"/>
    </row>
    <row r="21" spans="1:14" s="1" customFormat="1" ht="19.5" customHeight="1">
      <c r="A21" s="14"/>
      <c r="B21" s="4"/>
      <c r="C21" s="1" t="s">
        <v>575</v>
      </c>
      <c r="D21" s="52"/>
      <c r="E21" s="3"/>
      <c r="F21" s="3"/>
      <c r="G21" s="3"/>
      <c r="H21" s="53"/>
      <c r="I21" s="3"/>
      <c r="J21" s="3"/>
      <c r="K21" s="3"/>
      <c r="L21" s="3"/>
      <c r="M21" s="3"/>
      <c r="N21" s="3"/>
    </row>
    <row r="22" spans="1:14" s="1" customFormat="1" ht="4.5" customHeight="1">
      <c r="A22" s="14"/>
      <c r="B22" s="4"/>
      <c r="C22" s="44"/>
      <c r="D22" s="50"/>
      <c r="E22" s="4"/>
      <c r="F22" s="4"/>
      <c r="G22" s="4"/>
      <c r="H22" s="43"/>
      <c r="I22" s="4"/>
      <c r="J22" s="4"/>
      <c r="K22" s="4"/>
      <c r="L22" s="4"/>
      <c r="M22" s="4"/>
      <c r="N22" s="48"/>
    </row>
    <row r="23" spans="1:14" s="1" customFormat="1" ht="19.5" customHeight="1">
      <c r="A23" s="14"/>
      <c r="B23" s="6"/>
      <c r="C23" s="49"/>
      <c r="D23" s="4" t="s">
        <v>594</v>
      </c>
      <c r="E23" s="4"/>
      <c r="F23" s="4"/>
      <c r="G23" s="4"/>
      <c r="H23" s="43"/>
      <c r="I23" s="4"/>
      <c r="J23" s="4" t="s">
        <v>595</v>
      </c>
      <c r="K23" s="4"/>
      <c r="L23" s="4"/>
      <c r="M23" s="4"/>
      <c r="N23" s="6"/>
    </row>
    <row r="24" spans="1:14" s="1" customFormat="1" ht="19.5" customHeight="1">
      <c r="A24" s="14"/>
      <c r="B24" s="6"/>
      <c r="C24" s="4"/>
      <c r="D24" s="129">
        <v>1</v>
      </c>
      <c r="E24" s="41" t="s">
        <v>596</v>
      </c>
      <c r="F24" s="4"/>
      <c r="G24" s="41" t="s">
        <v>562</v>
      </c>
      <c r="H24" s="131">
        <f>D24*1000</f>
        <v>1000</v>
      </c>
      <c r="I24" s="4" t="s">
        <v>597</v>
      </c>
      <c r="J24" s="129">
        <v>1</v>
      </c>
      <c r="K24" s="41" t="s">
        <v>598</v>
      </c>
      <c r="L24" s="41" t="s">
        <v>562</v>
      </c>
      <c r="M24" s="132">
        <f>J24*10^6</f>
        <v>1000000</v>
      </c>
      <c r="N24" s="6" t="s">
        <v>599</v>
      </c>
    </row>
    <row r="25" spans="1:14" s="1" customFormat="1" ht="19.5" customHeight="1">
      <c r="A25" s="14"/>
      <c r="B25" s="6"/>
      <c r="C25" s="4"/>
      <c r="D25" s="129">
        <v>1</v>
      </c>
      <c r="E25" s="41" t="s">
        <v>600</v>
      </c>
      <c r="F25" s="4"/>
      <c r="G25" s="4" t="s">
        <v>562</v>
      </c>
      <c r="H25" s="131">
        <f>D25*1000</f>
        <v>1000</v>
      </c>
      <c r="I25" s="41" t="s">
        <v>597</v>
      </c>
      <c r="J25" s="129">
        <v>1</v>
      </c>
      <c r="K25" s="4" t="s">
        <v>601</v>
      </c>
      <c r="L25" s="4" t="s">
        <v>562</v>
      </c>
      <c r="M25" s="41">
        <f>J25*100</f>
        <v>100</v>
      </c>
      <c r="N25" s="6" t="s">
        <v>599</v>
      </c>
    </row>
    <row r="26" spans="1:14" s="1" customFormat="1" ht="19.5" customHeight="1">
      <c r="A26" s="14"/>
      <c r="B26" s="6"/>
      <c r="C26" s="4"/>
      <c r="D26" s="129">
        <v>1</v>
      </c>
      <c r="E26" s="4" t="s">
        <v>602</v>
      </c>
      <c r="F26" s="4"/>
      <c r="G26" s="4" t="s">
        <v>562</v>
      </c>
      <c r="H26" s="41">
        <f>D26*100</f>
        <v>100</v>
      </c>
      <c r="I26" s="41" t="s">
        <v>597</v>
      </c>
      <c r="J26" s="129">
        <v>1</v>
      </c>
      <c r="K26" s="41" t="s">
        <v>603</v>
      </c>
      <c r="L26" s="4" t="s">
        <v>562</v>
      </c>
      <c r="M26" s="42">
        <f>J26*(1/3600)*10^6</f>
        <v>277.77777777777777</v>
      </c>
      <c r="N26" s="6" t="s">
        <v>599</v>
      </c>
    </row>
    <row r="27" spans="1:14" s="1" customFormat="1" ht="19.5" customHeight="1">
      <c r="A27" s="14"/>
      <c r="B27" s="6"/>
      <c r="C27" s="4"/>
      <c r="D27" s="129">
        <v>1</v>
      </c>
      <c r="E27" s="41" t="s">
        <v>604</v>
      </c>
      <c r="F27" s="4"/>
      <c r="G27" s="4" t="s">
        <v>562</v>
      </c>
      <c r="H27" s="41">
        <f>D27*9.80665*10^3</f>
        <v>9806.65</v>
      </c>
      <c r="I27" s="41" t="s">
        <v>597</v>
      </c>
      <c r="J27" s="129">
        <v>1</v>
      </c>
      <c r="K27" s="41" t="s">
        <v>605</v>
      </c>
      <c r="L27" s="4" t="s">
        <v>562</v>
      </c>
      <c r="M27" s="42">
        <f>J27*92.90304*10^3</f>
        <v>92903.04000000001</v>
      </c>
      <c r="N27" s="6" t="s">
        <v>599</v>
      </c>
    </row>
    <row r="28" spans="1:14" s="1" customFormat="1" ht="19.5" customHeight="1">
      <c r="A28" s="14"/>
      <c r="B28" s="6"/>
      <c r="C28" s="4"/>
      <c r="D28" s="50"/>
      <c r="E28" s="4"/>
      <c r="F28" s="4"/>
      <c r="G28" s="4"/>
      <c r="H28" s="43"/>
      <c r="I28" s="4"/>
      <c r="J28" s="129">
        <v>1</v>
      </c>
      <c r="K28" s="41" t="s">
        <v>606</v>
      </c>
      <c r="L28" s="4" t="s">
        <v>562</v>
      </c>
      <c r="M28" s="41">
        <f>J28*645.16</f>
        <v>645.16</v>
      </c>
      <c r="N28" s="6" t="s">
        <v>599</v>
      </c>
    </row>
    <row r="29" spans="1:14" s="1" customFormat="1" ht="4.5" customHeight="1">
      <c r="A29" s="14"/>
      <c r="B29" s="6"/>
      <c r="C29" s="3"/>
      <c r="D29" s="52"/>
      <c r="E29" s="3"/>
      <c r="F29" s="3"/>
      <c r="G29" s="3"/>
      <c r="H29" s="53"/>
      <c r="I29" s="3"/>
      <c r="J29" s="3"/>
      <c r="K29" s="3"/>
      <c r="L29" s="3"/>
      <c r="M29" s="3"/>
      <c r="N29" s="54"/>
    </row>
    <row r="30" spans="1:8" s="1" customFormat="1" ht="19.5" customHeight="1">
      <c r="A30" s="14"/>
      <c r="D30" s="25"/>
      <c r="H30" s="12"/>
    </row>
    <row r="31" spans="1:8" s="1" customFormat="1" ht="19.5" customHeight="1">
      <c r="A31" s="14"/>
      <c r="D31" s="25"/>
      <c r="H31" s="12"/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  <row r="41" spans="1:8" s="1" customFormat="1" ht="19.5" customHeight="1">
      <c r="A41" s="14"/>
      <c r="D41" s="25"/>
      <c r="H41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N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24" customWidth="1"/>
    <col min="5" max="5" width="4.77734375" style="16" customWidth="1"/>
    <col min="6" max="7" width="3.3359375" style="16" customWidth="1"/>
    <col min="8" max="8" width="6.88671875" style="16" customWidth="1"/>
    <col min="9" max="9" width="6.5546875" style="16" customWidth="1"/>
    <col min="10" max="10" width="7.99609375" style="16" customWidth="1"/>
    <col min="11" max="11" width="6.4453125" style="16" customWidth="1"/>
    <col min="12" max="12" width="2.21484375" style="16" customWidth="1"/>
    <col min="13" max="13" width="8.21484375" style="16" customWidth="1"/>
    <col min="14" max="14" width="6.10546875" style="16" customWidth="1"/>
    <col min="15" max="16384" width="8.88671875" style="16" customWidth="1"/>
  </cols>
  <sheetData>
    <row r="1" spans="1:14" ht="19.5" customHeight="1">
      <c r="A1" s="5" t="s">
        <v>327</v>
      </c>
      <c r="B1" s="17"/>
      <c r="C1" s="18"/>
      <c r="D1" s="26"/>
      <c r="E1" s="18"/>
      <c r="F1" s="18"/>
      <c r="G1" s="18"/>
      <c r="H1" s="19"/>
      <c r="I1" s="18"/>
      <c r="J1" s="18"/>
      <c r="K1" s="18"/>
      <c r="L1" s="18"/>
      <c r="M1" s="18"/>
      <c r="N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324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35" t="s">
        <v>321</v>
      </c>
    </row>
    <row r="6" ht="19.5" customHeight="1">
      <c r="B6" s="35" t="s">
        <v>320</v>
      </c>
    </row>
    <row r="7" ht="19.5" customHeight="1">
      <c r="B7" s="35" t="s">
        <v>322</v>
      </c>
    </row>
    <row r="8" ht="7.5" customHeight="1">
      <c r="B8" s="35"/>
    </row>
    <row r="9" ht="19.5" customHeight="1">
      <c r="B9" s="37" t="s">
        <v>323</v>
      </c>
    </row>
    <row r="10" ht="19.5" customHeight="1">
      <c r="B10" s="36"/>
    </row>
    <row r="11" ht="19.5" customHeight="1">
      <c r="B11" s="1" t="s">
        <v>607</v>
      </c>
    </row>
    <row r="12" ht="8.25" customHeight="1">
      <c r="B12" s="1"/>
    </row>
    <row r="13" spans="2:14" s="1" customFormat="1" ht="19.5" customHeight="1">
      <c r="B13" s="11" t="s">
        <v>608</v>
      </c>
      <c r="C13" s="11"/>
      <c r="D13" s="25"/>
      <c r="E13" s="25"/>
      <c r="F13" s="33" t="s">
        <v>609</v>
      </c>
      <c r="G13" s="11" t="s">
        <v>610</v>
      </c>
      <c r="H13" s="13">
        <v>1000</v>
      </c>
      <c r="I13" s="1" t="s">
        <v>611</v>
      </c>
      <c r="J13" s="4"/>
      <c r="K13" s="4"/>
      <c r="L13" s="4"/>
      <c r="M13" s="4"/>
      <c r="N13" s="4"/>
    </row>
    <row r="14" spans="2:14" s="1" customFormat="1" ht="19.5" customHeight="1">
      <c r="B14" s="11" t="s">
        <v>612</v>
      </c>
      <c r="C14" s="11"/>
      <c r="D14" s="25"/>
      <c r="E14" s="25"/>
      <c r="F14" s="33" t="s">
        <v>613</v>
      </c>
      <c r="G14" s="11" t="s">
        <v>610</v>
      </c>
      <c r="H14" s="13">
        <v>1</v>
      </c>
      <c r="I14" s="1" t="s">
        <v>614</v>
      </c>
      <c r="J14" s="129"/>
      <c r="K14" s="41"/>
      <c r="L14" s="41"/>
      <c r="M14" s="130"/>
      <c r="N14" s="4"/>
    </row>
    <row r="15" spans="1:14" s="1" customFormat="1" ht="7.5" customHeight="1">
      <c r="A15" s="14"/>
      <c r="B15" s="14"/>
      <c r="D15" s="25"/>
      <c r="J15" s="129"/>
      <c r="K15" s="41"/>
      <c r="L15" s="41"/>
      <c r="M15" s="130"/>
      <c r="N15" s="41"/>
    </row>
    <row r="16" spans="2:14" s="1" customFormat="1" ht="19.5" customHeight="1">
      <c r="B16" s="33" t="s">
        <v>615</v>
      </c>
      <c r="C16" s="1" t="s">
        <v>610</v>
      </c>
      <c r="D16" s="125">
        <f>H13*H14*10^-3</f>
        <v>1</v>
      </c>
      <c r="E16" s="1" t="s">
        <v>616</v>
      </c>
      <c r="J16" s="129"/>
      <c r="K16" s="41"/>
      <c r="L16" s="41"/>
      <c r="M16" s="130"/>
      <c r="N16" s="4"/>
    </row>
    <row r="17" spans="2:14" s="1" customFormat="1" ht="19.5" customHeight="1">
      <c r="B17" s="11"/>
      <c r="C17" s="1" t="s">
        <v>610</v>
      </c>
      <c r="D17" s="12">
        <f>D$16*10^-3</f>
        <v>0.001</v>
      </c>
      <c r="E17" s="41" t="s">
        <v>617</v>
      </c>
      <c r="J17" s="129"/>
      <c r="K17" s="41"/>
      <c r="L17" s="41"/>
      <c r="M17" s="130"/>
      <c r="N17" s="41"/>
    </row>
    <row r="18" spans="2:14" s="1" customFormat="1" ht="19.5" customHeight="1">
      <c r="B18" s="11"/>
      <c r="C18" s="1" t="s">
        <v>610</v>
      </c>
      <c r="D18" s="12">
        <f>D$16*10^-3</f>
        <v>0.001</v>
      </c>
      <c r="E18" s="41" t="s">
        <v>618</v>
      </c>
      <c r="J18" s="129"/>
      <c r="K18" s="41"/>
      <c r="L18" s="41"/>
      <c r="M18" s="130"/>
      <c r="N18" s="41"/>
    </row>
    <row r="19" spans="2:14" s="1" customFormat="1" ht="19.5" customHeight="1">
      <c r="B19" s="11"/>
      <c r="C19" s="1" t="s">
        <v>610</v>
      </c>
      <c r="D19" s="12">
        <f>D$16*10^-2</f>
        <v>0.01</v>
      </c>
      <c r="E19" s="4" t="s">
        <v>619</v>
      </c>
      <c r="J19" s="129"/>
      <c r="K19" s="41"/>
      <c r="L19" s="41"/>
      <c r="M19" s="130"/>
      <c r="N19" s="41"/>
    </row>
    <row r="20" spans="2:14" s="1" customFormat="1" ht="19.5" customHeight="1">
      <c r="B20" s="11"/>
      <c r="C20" s="1" t="s">
        <v>610</v>
      </c>
      <c r="D20" s="15">
        <f>D$16*1.01972*10^-4</f>
        <v>0.000101972</v>
      </c>
      <c r="E20" s="41" t="s">
        <v>620</v>
      </c>
      <c r="J20" s="129"/>
      <c r="K20" s="41"/>
      <c r="L20" s="41"/>
      <c r="M20" s="130"/>
      <c r="N20" s="41"/>
    </row>
    <row r="21" spans="2:14" s="1" customFormat="1" ht="16.5" customHeight="1">
      <c r="B21" s="11"/>
      <c r="D21" s="31"/>
      <c r="J21" s="129"/>
      <c r="K21" s="41"/>
      <c r="L21" s="41"/>
      <c r="M21" s="130"/>
      <c r="N21" s="41"/>
    </row>
    <row r="22" spans="1:14" s="1" customFormat="1" ht="19.5" customHeight="1">
      <c r="A22" s="14"/>
      <c r="C22" s="1" t="s">
        <v>621</v>
      </c>
      <c r="D22" s="25"/>
      <c r="H22" s="12"/>
      <c r="J22" s="4"/>
      <c r="K22" s="4"/>
      <c r="L22" s="4"/>
      <c r="M22" s="4"/>
      <c r="N22" s="4"/>
    </row>
    <row r="23" spans="1:14" s="1" customFormat="1" ht="4.5" customHeight="1">
      <c r="A23" s="14"/>
      <c r="C23" s="44"/>
      <c r="D23" s="46"/>
      <c r="E23" s="45"/>
      <c r="F23" s="45"/>
      <c r="G23" s="45"/>
      <c r="H23" s="47"/>
      <c r="I23" s="45"/>
      <c r="J23" s="45"/>
      <c r="K23" s="45"/>
      <c r="L23" s="45"/>
      <c r="M23" s="45"/>
      <c r="N23" s="48"/>
    </row>
    <row r="24" spans="1:14" s="1" customFormat="1" ht="19.5" customHeight="1">
      <c r="A24" s="14"/>
      <c r="C24" s="49"/>
      <c r="D24" s="4" t="s">
        <v>622</v>
      </c>
      <c r="E24" s="4"/>
      <c r="F24" s="4"/>
      <c r="G24" s="4"/>
      <c r="H24" s="43"/>
      <c r="I24" s="4"/>
      <c r="J24" s="4" t="s">
        <v>623</v>
      </c>
      <c r="K24" s="4"/>
      <c r="L24" s="4"/>
      <c r="M24" s="4"/>
      <c r="N24" s="6"/>
    </row>
    <row r="25" spans="1:14" s="1" customFormat="1" ht="19.5" customHeight="1">
      <c r="A25" s="14"/>
      <c r="C25" s="49"/>
      <c r="D25" s="129">
        <v>1</v>
      </c>
      <c r="E25" s="41" t="s">
        <v>624</v>
      </c>
      <c r="F25" s="4"/>
      <c r="G25" s="41" t="s">
        <v>610</v>
      </c>
      <c r="H25" s="131">
        <f>D25*10^3</f>
        <v>1000</v>
      </c>
      <c r="I25" s="4" t="s">
        <v>611</v>
      </c>
      <c r="J25" s="129">
        <v>1</v>
      </c>
      <c r="K25" s="41" t="s">
        <v>625</v>
      </c>
      <c r="L25" s="41" t="s">
        <v>610</v>
      </c>
      <c r="M25" s="132">
        <f>J25*10^6</f>
        <v>1000000</v>
      </c>
      <c r="N25" s="6" t="s">
        <v>614</v>
      </c>
    </row>
    <row r="26" spans="1:14" s="1" customFormat="1" ht="19.5" customHeight="1">
      <c r="A26" s="14"/>
      <c r="C26" s="49"/>
      <c r="D26" s="129">
        <v>1</v>
      </c>
      <c r="E26" s="41" t="s">
        <v>626</v>
      </c>
      <c r="F26" s="4"/>
      <c r="G26" s="4" t="s">
        <v>610</v>
      </c>
      <c r="H26" s="131">
        <f>D26*10^-3</f>
        <v>0.001</v>
      </c>
      <c r="I26" s="4" t="s">
        <v>611</v>
      </c>
      <c r="J26" s="129">
        <v>1</v>
      </c>
      <c r="K26" s="4" t="s">
        <v>627</v>
      </c>
      <c r="L26" s="4" t="s">
        <v>610</v>
      </c>
      <c r="M26" s="41">
        <f>J26*100</f>
        <v>100</v>
      </c>
      <c r="N26" s="6" t="s">
        <v>614</v>
      </c>
    </row>
    <row r="27" spans="1:14" s="1" customFormat="1" ht="19.5" customHeight="1">
      <c r="A27" s="14"/>
      <c r="C27" s="49"/>
      <c r="D27" s="129">
        <v>1</v>
      </c>
      <c r="E27" s="41" t="s">
        <v>628</v>
      </c>
      <c r="F27" s="4"/>
      <c r="G27" s="4" t="s">
        <v>610</v>
      </c>
      <c r="H27" s="133">
        <f>D27*16.0194</f>
        <v>16.0194</v>
      </c>
      <c r="I27" s="4" t="s">
        <v>611</v>
      </c>
      <c r="J27" s="129">
        <v>1</v>
      </c>
      <c r="K27" s="41" t="s">
        <v>629</v>
      </c>
      <c r="L27" s="4" t="s">
        <v>610</v>
      </c>
      <c r="M27" s="42">
        <f>J27*(1/3600)*10^6</f>
        <v>277.77777777777777</v>
      </c>
      <c r="N27" s="6" t="s">
        <v>614</v>
      </c>
    </row>
    <row r="28" spans="1:14" s="1" customFormat="1" ht="19.5" customHeight="1">
      <c r="A28" s="14"/>
      <c r="C28" s="49"/>
      <c r="D28" s="129">
        <v>1</v>
      </c>
      <c r="E28" s="41" t="s">
        <v>630</v>
      </c>
      <c r="F28" s="4"/>
      <c r="G28" s="4" t="s">
        <v>610</v>
      </c>
      <c r="H28" s="131">
        <f>D28*27680</f>
        <v>27680</v>
      </c>
      <c r="I28" s="4" t="s">
        <v>611</v>
      </c>
      <c r="J28" s="129">
        <v>1</v>
      </c>
      <c r="K28" s="41" t="s">
        <v>631</v>
      </c>
      <c r="L28" s="4" t="s">
        <v>610</v>
      </c>
      <c r="M28" s="42">
        <f>J28*92.90304*10^3</f>
        <v>92903.04000000001</v>
      </c>
      <c r="N28" s="6" t="s">
        <v>614</v>
      </c>
    </row>
    <row r="29" spans="1:14" s="1" customFormat="1" ht="19.5" customHeight="1">
      <c r="A29" s="14"/>
      <c r="C29" s="49"/>
      <c r="D29" s="50"/>
      <c r="E29" s="4"/>
      <c r="F29" s="4"/>
      <c r="G29" s="4"/>
      <c r="H29" s="43"/>
      <c r="I29" s="4"/>
      <c r="J29" s="129">
        <v>1</v>
      </c>
      <c r="K29" s="41" t="s">
        <v>632</v>
      </c>
      <c r="L29" s="4" t="s">
        <v>610</v>
      </c>
      <c r="M29" s="41">
        <f>J29*645.16</f>
        <v>645.16</v>
      </c>
      <c r="N29" s="6" t="s">
        <v>614</v>
      </c>
    </row>
    <row r="30" spans="1:14" s="1" customFormat="1" ht="4.5" customHeight="1">
      <c r="A30" s="14"/>
      <c r="C30" s="51"/>
      <c r="D30" s="52"/>
      <c r="E30" s="3"/>
      <c r="F30" s="3"/>
      <c r="G30" s="3"/>
      <c r="H30" s="53"/>
      <c r="I30" s="3"/>
      <c r="J30" s="3"/>
      <c r="K30" s="3"/>
      <c r="L30" s="3"/>
      <c r="M30" s="3"/>
      <c r="N30" s="54"/>
    </row>
    <row r="31" spans="1:8" s="1" customFormat="1" ht="19.5" customHeight="1">
      <c r="A31" s="14"/>
      <c r="D31" s="25"/>
      <c r="H31" s="12"/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  <row r="41" spans="1:8" s="1" customFormat="1" ht="19.5" customHeight="1">
      <c r="A41" s="14"/>
      <c r="D41" s="25"/>
      <c r="H41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O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24" customWidth="1"/>
    <col min="5" max="5" width="4.77734375" style="16" customWidth="1"/>
    <col min="6" max="7" width="3.3359375" style="16" customWidth="1"/>
    <col min="8" max="8" width="6.88671875" style="16" customWidth="1"/>
    <col min="9" max="9" width="6.5546875" style="16" customWidth="1"/>
    <col min="10" max="10" width="7.99609375" style="16" customWidth="1"/>
    <col min="11" max="11" width="6.4453125" style="16" customWidth="1"/>
    <col min="12" max="12" width="2.21484375" style="16" customWidth="1"/>
    <col min="13" max="13" width="8.21484375" style="16" customWidth="1"/>
    <col min="14" max="14" width="6.10546875" style="16" customWidth="1"/>
    <col min="15" max="16384" width="8.88671875" style="16" customWidth="1"/>
  </cols>
  <sheetData>
    <row r="1" spans="1:14" ht="19.5" customHeight="1">
      <c r="A1" s="5" t="s">
        <v>334</v>
      </c>
      <c r="B1" s="17"/>
      <c r="C1" s="18"/>
      <c r="D1" s="26"/>
      <c r="E1" s="18"/>
      <c r="F1" s="18"/>
      <c r="G1" s="18"/>
      <c r="H1" s="19"/>
      <c r="I1" s="18"/>
      <c r="J1" s="18"/>
      <c r="K1" s="18"/>
      <c r="L1" s="18"/>
      <c r="M1" s="18"/>
      <c r="N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527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35" t="s">
        <v>331</v>
      </c>
    </row>
    <row r="6" ht="19.5" customHeight="1">
      <c r="B6" s="35" t="s">
        <v>329</v>
      </c>
    </row>
    <row r="7" ht="19.5" customHeight="1">
      <c r="B7" s="35" t="s">
        <v>330</v>
      </c>
    </row>
    <row r="8" ht="7.5" customHeight="1">
      <c r="B8" s="35"/>
    </row>
    <row r="9" ht="19.5" customHeight="1">
      <c r="B9" s="37" t="s">
        <v>335</v>
      </c>
    </row>
    <row r="10" ht="19.5" customHeight="1">
      <c r="B10" s="36"/>
    </row>
    <row r="11" ht="19.5" customHeight="1">
      <c r="B11" s="1" t="s">
        <v>144</v>
      </c>
    </row>
    <row r="12" ht="8.25" customHeight="1">
      <c r="B12" s="1"/>
    </row>
    <row r="13" spans="2:14" s="1" customFormat="1" ht="19.5" customHeight="1">
      <c r="B13" s="11" t="s">
        <v>325</v>
      </c>
      <c r="C13" s="11"/>
      <c r="D13" s="25"/>
      <c r="E13" s="25"/>
      <c r="F13" s="33" t="s">
        <v>312</v>
      </c>
      <c r="G13" s="11" t="s">
        <v>120</v>
      </c>
      <c r="H13" s="13">
        <v>5</v>
      </c>
      <c r="I13" s="1" t="s">
        <v>316</v>
      </c>
      <c r="J13" s="4"/>
      <c r="K13" s="4"/>
      <c r="L13" s="4"/>
      <c r="M13" s="4"/>
      <c r="N13" s="4"/>
    </row>
    <row r="14" spans="2:14" s="1" customFormat="1" ht="19.5" customHeight="1">
      <c r="B14" s="11" t="s">
        <v>336</v>
      </c>
      <c r="C14" s="11"/>
      <c r="D14" s="25"/>
      <c r="E14" s="25"/>
      <c r="F14" s="33" t="s">
        <v>315</v>
      </c>
      <c r="G14" s="11" t="s">
        <v>120</v>
      </c>
      <c r="H14" s="13">
        <v>955</v>
      </c>
      <c r="I14" s="1" t="s">
        <v>313</v>
      </c>
      <c r="J14" s="4"/>
      <c r="K14" s="4"/>
      <c r="L14" s="4"/>
      <c r="M14" s="4"/>
      <c r="N14" s="4"/>
    </row>
    <row r="15" spans="1:14" s="1" customFormat="1" ht="7.5" customHeight="1">
      <c r="A15" s="14"/>
      <c r="B15" s="14"/>
      <c r="D15" s="25"/>
      <c r="J15" s="129"/>
      <c r="K15" s="41"/>
      <c r="L15" s="41"/>
      <c r="M15" s="130"/>
      <c r="N15" s="41"/>
    </row>
    <row r="16" spans="2:14" s="1" customFormat="1" ht="19.5" customHeight="1">
      <c r="B16" s="33" t="s">
        <v>311</v>
      </c>
      <c r="C16" s="1" t="s">
        <v>120</v>
      </c>
      <c r="D16" s="127">
        <f>H13/H14*10^3</f>
        <v>5.235602094240838</v>
      </c>
      <c r="E16" s="1" t="s">
        <v>314</v>
      </c>
      <c r="J16" s="129"/>
      <c r="K16" s="41"/>
      <c r="L16" s="41"/>
      <c r="M16" s="130"/>
      <c r="N16" s="4"/>
    </row>
    <row r="17" spans="2:14" s="1" customFormat="1" ht="19.5" customHeight="1">
      <c r="B17" s="11"/>
      <c r="C17" s="1" t="s">
        <v>120</v>
      </c>
      <c r="D17" s="134">
        <f>D$16*10^-6</f>
        <v>5.235602094240838E-06</v>
      </c>
      <c r="E17" s="41" t="s">
        <v>0</v>
      </c>
      <c r="F17" s="1" t="s">
        <v>1</v>
      </c>
      <c r="J17" s="129"/>
      <c r="K17" s="41"/>
      <c r="L17" s="41"/>
      <c r="M17" s="130"/>
      <c r="N17" s="41"/>
    </row>
    <row r="18" spans="2:14" s="1" customFormat="1" ht="19.5" customHeight="1">
      <c r="B18" s="11"/>
      <c r="C18" s="1" t="s">
        <v>120</v>
      </c>
      <c r="D18" s="43">
        <f>D$16*0.01</f>
        <v>0.052356020942408384</v>
      </c>
      <c r="E18" s="4" t="s">
        <v>2</v>
      </c>
      <c r="J18" s="129"/>
      <c r="K18" s="41"/>
      <c r="L18" s="41"/>
      <c r="M18" s="130"/>
      <c r="N18" s="41"/>
    </row>
    <row r="19" spans="2:14" s="1" customFormat="1" ht="19.5" customHeight="1">
      <c r="B19" s="11"/>
      <c r="C19" s="1" t="s">
        <v>120</v>
      </c>
      <c r="D19" s="43">
        <f>D$16*3600*10^-6</f>
        <v>0.01884816753926702</v>
      </c>
      <c r="E19" s="41" t="s">
        <v>3</v>
      </c>
      <c r="J19" s="129"/>
      <c r="K19" s="41"/>
      <c r="L19" s="41"/>
      <c r="M19" s="130"/>
      <c r="N19" s="41"/>
    </row>
    <row r="20" spans="2:14" s="1" customFormat="1" ht="19.5" customHeight="1">
      <c r="B20" s="11"/>
      <c r="C20" s="1" t="s">
        <v>120</v>
      </c>
      <c r="D20" s="43">
        <f>D$16*10.76391*10^-6</f>
        <v>5.6355549738219897E-05</v>
      </c>
      <c r="E20" s="41" t="s">
        <v>4</v>
      </c>
      <c r="J20" s="129"/>
      <c r="K20" s="41"/>
      <c r="L20" s="41"/>
      <c r="M20" s="130"/>
      <c r="N20" s="41"/>
    </row>
    <row r="21" spans="2:14" s="1" customFormat="1" ht="16.5" customHeight="1">
      <c r="B21" s="11"/>
      <c r="C21" s="1" t="s">
        <v>120</v>
      </c>
      <c r="D21" s="43">
        <f>D$16*1.5500031*10^-3</f>
        <v>0.008115199476439792</v>
      </c>
      <c r="E21" s="41" t="s">
        <v>5</v>
      </c>
      <c r="J21" s="129"/>
      <c r="K21" s="41"/>
      <c r="L21" s="41"/>
      <c r="M21" s="130"/>
      <c r="N21" s="41"/>
    </row>
    <row r="22" spans="2:14" s="1" customFormat="1" ht="16.5" customHeight="1">
      <c r="B22" s="11"/>
      <c r="D22" s="31"/>
      <c r="E22" s="41"/>
      <c r="J22" s="129"/>
      <c r="K22" s="41"/>
      <c r="L22" s="41"/>
      <c r="M22" s="130"/>
      <c r="N22" s="41"/>
    </row>
    <row r="23" spans="1:14" s="1" customFormat="1" ht="19.5" customHeight="1">
      <c r="A23" s="14"/>
      <c r="C23" s="1" t="s">
        <v>390</v>
      </c>
      <c r="D23" s="25"/>
      <c r="H23" s="12"/>
      <c r="J23" s="4"/>
      <c r="K23" s="4"/>
      <c r="L23" s="4"/>
      <c r="M23" s="4"/>
      <c r="N23" s="4"/>
    </row>
    <row r="24" spans="1:14" s="1" customFormat="1" ht="4.5" customHeight="1">
      <c r="A24" s="14"/>
      <c r="C24" s="44"/>
      <c r="D24" s="46"/>
      <c r="E24" s="45"/>
      <c r="F24" s="45"/>
      <c r="G24" s="45"/>
      <c r="H24" s="47"/>
      <c r="I24" s="45"/>
      <c r="J24" s="45"/>
      <c r="K24" s="45"/>
      <c r="L24" s="45"/>
      <c r="M24" s="45"/>
      <c r="N24" s="48"/>
    </row>
    <row r="25" spans="1:15" s="1" customFormat="1" ht="19.5" customHeight="1">
      <c r="A25" s="14"/>
      <c r="C25" s="49"/>
      <c r="D25" s="4" t="s">
        <v>328</v>
      </c>
      <c r="E25" s="4"/>
      <c r="F25" s="4"/>
      <c r="G25" s="4"/>
      <c r="H25" s="43"/>
      <c r="I25" s="4"/>
      <c r="J25" s="4" t="s">
        <v>6</v>
      </c>
      <c r="K25" s="4"/>
      <c r="L25" s="4"/>
      <c r="M25" s="4"/>
      <c r="N25" s="58"/>
      <c r="O25" s="4"/>
    </row>
    <row r="26" spans="1:14" s="1" customFormat="1" ht="19.5" customHeight="1">
      <c r="A26" s="14"/>
      <c r="C26" s="49"/>
      <c r="D26" s="129">
        <v>1</v>
      </c>
      <c r="E26" s="41" t="s">
        <v>7</v>
      </c>
      <c r="F26" s="4"/>
      <c r="G26" s="41" t="s">
        <v>120</v>
      </c>
      <c r="H26" s="131">
        <f>D26*1000</f>
        <v>1000</v>
      </c>
      <c r="I26" s="4" t="s">
        <v>316</v>
      </c>
      <c r="J26" s="129">
        <v>1</v>
      </c>
      <c r="K26" s="41" t="s">
        <v>8</v>
      </c>
      <c r="L26" s="41" t="s">
        <v>120</v>
      </c>
      <c r="M26" s="131">
        <f>J26*10^3</f>
        <v>1000</v>
      </c>
      <c r="N26" s="6" t="s">
        <v>316</v>
      </c>
    </row>
    <row r="27" spans="1:14" s="1" customFormat="1" ht="19.5" customHeight="1">
      <c r="A27" s="14"/>
      <c r="C27" s="49"/>
      <c r="D27" s="129">
        <v>1</v>
      </c>
      <c r="E27" s="41" t="s">
        <v>9</v>
      </c>
      <c r="F27" s="4"/>
      <c r="G27" s="4" t="s">
        <v>120</v>
      </c>
      <c r="H27" s="131">
        <f>D27*1000</f>
        <v>1000</v>
      </c>
      <c r="I27" s="41" t="s">
        <v>316</v>
      </c>
      <c r="J27" s="129">
        <v>1</v>
      </c>
      <c r="K27" s="41" t="s">
        <v>10</v>
      </c>
      <c r="L27" s="4" t="s">
        <v>120</v>
      </c>
      <c r="M27" s="131">
        <f>J27*10^-3</f>
        <v>0.001</v>
      </c>
      <c r="N27" s="135" t="s">
        <v>316</v>
      </c>
    </row>
    <row r="28" spans="1:14" s="1" customFormat="1" ht="19.5" customHeight="1">
      <c r="A28" s="14"/>
      <c r="C28" s="49"/>
      <c r="D28" s="129">
        <v>1</v>
      </c>
      <c r="E28" s="4" t="s">
        <v>317</v>
      </c>
      <c r="F28" s="4"/>
      <c r="G28" s="4" t="s">
        <v>120</v>
      </c>
      <c r="H28" s="41">
        <f>D28*100</f>
        <v>100</v>
      </c>
      <c r="I28" s="41" t="s">
        <v>316</v>
      </c>
      <c r="J28" s="129">
        <v>1</v>
      </c>
      <c r="K28" s="41" t="s">
        <v>11</v>
      </c>
      <c r="L28" s="4" t="s">
        <v>120</v>
      </c>
      <c r="M28" s="133">
        <f>J28*16.0194</f>
        <v>16.0194</v>
      </c>
      <c r="N28" s="135" t="s">
        <v>316</v>
      </c>
    </row>
    <row r="29" spans="1:14" s="1" customFormat="1" ht="19.5" customHeight="1">
      <c r="A29" s="14"/>
      <c r="C29" s="49"/>
      <c r="D29" s="129">
        <v>1</v>
      </c>
      <c r="E29" s="41" t="s">
        <v>12</v>
      </c>
      <c r="F29" s="4"/>
      <c r="G29" s="4" t="s">
        <v>120</v>
      </c>
      <c r="H29" s="41">
        <f>D29*9.80665*10^3</f>
        <v>9806.65</v>
      </c>
      <c r="I29" s="41" t="s">
        <v>316</v>
      </c>
      <c r="J29" s="129">
        <v>1</v>
      </c>
      <c r="K29" s="41" t="s">
        <v>13</v>
      </c>
      <c r="L29" s="4" t="s">
        <v>120</v>
      </c>
      <c r="M29" s="131">
        <f>J29*27680</f>
        <v>27680</v>
      </c>
      <c r="N29" s="135" t="s">
        <v>316</v>
      </c>
    </row>
    <row r="30" spans="1:14" s="1" customFormat="1" ht="19.5" customHeight="1">
      <c r="A30" s="14"/>
      <c r="C30" s="49"/>
      <c r="D30" s="50"/>
      <c r="E30" s="4"/>
      <c r="F30" s="4"/>
      <c r="G30" s="4"/>
      <c r="H30" s="43"/>
      <c r="I30" s="4"/>
      <c r="J30" s="129"/>
      <c r="K30" s="41"/>
      <c r="L30" s="4"/>
      <c r="M30" s="41"/>
      <c r="N30" s="6"/>
    </row>
    <row r="31" spans="1:14" s="1" customFormat="1" ht="4.5" customHeight="1">
      <c r="A31" s="14"/>
      <c r="C31" s="51"/>
      <c r="D31" s="52"/>
      <c r="E31" s="3"/>
      <c r="F31" s="3"/>
      <c r="G31" s="3"/>
      <c r="H31" s="53"/>
      <c r="I31" s="3"/>
      <c r="J31" s="3"/>
      <c r="K31" s="3"/>
      <c r="L31" s="3"/>
      <c r="M31" s="3"/>
      <c r="N31" s="54"/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  <row r="41" spans="1:8" s="1" customFormat="1" ht="19.5" customHeight="1">
      <c r="A41" s="14"/>
      <c r="D41" s="25"/>
      <c r="H41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I40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67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188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180</v>
      </c>
    </row>
    <row r="6" ht="19.5" customHeight="1">
      <c r="B6" s="38" t="s">
        <v>291</v>
      </c>
    </row>
    <row r="7" ht="19.5" customHeight="1">
      <c r="B7" s="38" t="s">
        <v>183</v>
      </c>
    </row>
    <row r="8" ht="19.5" customHeight="1">
      <c r="B8" s="38" t="s">
        <v>184</v>
      </c>
    </row>
    <row r="9" ht="19.5" customHeight="1">
      <c r="B9" s="38" t="s">
        <v>185</v>
      </c>
    </row>
    <row r="10" ht="19.5" customHeight="1">
      <c r="B10" s="23"/>
    </row>
    <row r="11" ht="19.5" customHeight="1">
      <c r="B11" s="1" t="s">
        <v>176</v>
      </c>
    </row>
    <row r="12" spans="2:9" s="1" customFormat="1" ht="19.5" customHeight="1">
      <c r="B12" s="11" t="s">
        <v>138</v>
      </c>
      <c r="C12" s="11"/>
      <c r="D12" s="25"/>
      <c r="E12" s="25"/>
      <c r="F12" s="25" t="s">
        <v>186</v>
      </c>
      <c r="G12" s="11" t="s">
        <v>177</v>
      </c>
      <c r="H12" s="13">
        <v>50</v>
      </c>
      <c r="I12" s="1" t="s">
        <v>178</v>
      </c>
    </row>
    <row r="13" spans="1:4" s="1" customFormat="1" ht="8.25" customHeight="1">
      <c r="A13" s="14"/>
      <c r="B13" s="14"/>
      <c r="D13" s="25"/>
    </row>
    <row r="14" spans="2:5" s="1" customFormat="1" ht="19.5" customHeight="1">
      <c r="B14" s="11" t="s">
        <v>181</v>
      </c>
      <c r="C14" s="1" t="s">
        <v>177</v>
      </c>
      <c r="D14" s="127">
        <f>H12^2/2*10^-6</f>
        <v>0.00125</v>
      </c>
      <c r="E14" s="1" t="s">
        <v>195</v>
      </c>
    </row>
    <row r="15" spans="2:5" s="1" customFormat="1" ht="19.5" customHeight="1">
      <c r="B15" s="11"/>
      <c r="C15" s="1" t="s">
        <v>120</v>
      </c>
      <c r="D15" s="32">
        <f>H12^2/2</f>
        <v>1250</v>
      </c>
      <c r="E15" s="1" t="s">
        <v>193</v>
      </c>
    </row>
    <row r="16" spans="2:5" s="1" customFormat="1" ht="19.5" customHeight="1">
      <c r="B16" s="1" t="s">
        <v>182</v>
      </c>
      <c r="C16" s="1" t="s">
        <v>177</v>
      </c>
      <c r="D16" s="32">
        <f>2^0.5*H12</f>
        <v>70.71067811865476</v>
      </c>
      <c r="E16" s="1" t="s">
        <v>119</v>
      </c>
    </row>
    <row r="17" spans="2:5" s="1" customFormat="1" ht="19.5" customHeight="1">
      <c r="B17" s="1" t="s">
        <v>187</v>
      </c>
      <c r="C17" s="1" t="s">
        <v>177</v>
      </c>
      <c r="D17" s="32">
        <f>0.707106781*H12</f>
        <v>35.35533905</v>
      </c>
      <c r="E17" s="1" t="s">
        <v>119</v>
      </c>
    </row>
    <row r="18" spans="1:8" s="1" customFormat="1" ht="19.5" customHeight="1">
      <c r="A18" s="14" t="s">
        <v>179</v>
      </c>
      <c r="D18" s="25"/>
      <c r="H18" s="12"/>
    </row>
    <row r="19" spans="1:8" s="1" customFormat="1" ht="19.5" customHeight="1">
      <c r="A19" s="14"/>
      <c r="D19" s="25"/>
      <c r="H19" s="12"/>
    </row>
    <row r="20" spans="1:9" ht="19.5" customHeight="1">
      <c r="A20" s="21" t="s">
        <v>197</v>
      </c>
      <c r="B20" s="21"/>
      <c r="C20" s="20"/>
      <c r="D20" s="27"/>
      <c r="E20" s="20"/>
      <c r="F20" s="20"/>
      <c r="G20" s="20"/>
      <c r="H20" s="20"/>
      <c r="I20" s="20"/>
    </row>
    <row r="21" spans="1:9" ht="8.25" customHeight="1">
      <c r="A21" s="21"/>
      <c r="B21" s="21"/>
      <c r="C21" s="20"/>
      <c r="D21" s="27"/>
      <c r="E21" s="20"/>
      <c r="F21" s="20"/>
      <c r="G21" s="20"/>
      <c r="H21" s="20"/>
      <c r="I21" s="20"/>
    </row>
    <row r="22" ht="19.5" customHeight="1">
      <c r="B22" s="22" t="s">
        <v>180</v>
      </c>
    </row>
    <row r="23" ht="19.5" customHeight="1">
      <c r="B23" s="38" t="s">
        <v>189</v>
      </c>
    </row>
    <row r="24" ht="19.5" customHeight="1">
      <c r="B24" s="38" t="s">
        <v>190</v>
      </c>
    </row>
    <row r="25" ht="19.5" customHeight="1">
      <c r="B25" s="38" t="s">
        <v>196</v>
      </c>
    </row>
    <row r="26" ht="19.5" customHeight="1">
      <c r="B26" s="23"/>
    </row>
    <row r="27" ht="19.5" customHeight="1">
      <c r="B27" s="1" t="s">
        <v>176</v>
      </c>
    </row>
    <row r="28" spans="2:9" ht="19.5" customHeight="1">
      <c r="B28" s="11" t="s">
        <v>138</v>
      </c>
      <c r="C28" s="11"/>
      <c r="D28" s="25"/>
      <c r="E28" s="25"/>
      <c r="F28" s="25" t="s">
        <v>186</v>
      </c>
      <c r="G28" s="11" t="s">
        <v>177</v>
      </c>
      <c r="H28" s="13">
        <v>50</v>
      </c>
      <c r="I28" s="1" t="s">
        <v>178</v>
      </c>
    </row>
    <row r="29" spans="2:9" ht="19.5" customHeight="1">
      <c r="B29" s="11" t="s">
        <v>191</v>
      </c>
      <c r="C29" s="11"/>
      <c r="D29" s="25"/>
      <c r="E29" s="25"/>
      <c r="F29" s="25" t="s">
        <v>192</v>
      </c>
      <c r="G29" s="11" t="s">
        <v>120</v>
      </c>
      <c r="H29" s="13">
        <v>70</v>
      </c>
      <c r="I29" s="1" t="s">
        <v>178</v>
      </c>
    </row>
    <row r="30" spans="1:4" s="1" customFormat="1" ht="8.25" customHeight="1">
      <c r="A30" s="14"/>
      <c r="B30" s="14"/>
      <c r="D30" s="25"/>
    </row>
    <row r="31" spans="2:5" s="1" customFormat="1" ht="19.5" customHeight="1">
      <c r="B31" s="11" t="s">
        <v>181</v>
      </c>
      <c r="C31" s="1" t="s">
        <v>177</v>
      </c>
      <c r="D31" s="136">
        <f>(H28*H29/2)*10^-6</f>
        <v>0.0017499999999999998</v>
      </c>
      <c r="E31" s="1" t="s">
        <v>195</v>
      </c>
    </row>
    <row r="32" spans="2:5" s="1" customFormat="1" ht="19.5" customHeight="1">
      <c r="B32" s="11"/>
      <c r="C32" s="1" t="s">
        <v>120</v>
      </c>
      <c r="D32" s="32">
        <f>H28*H29/2</f>
        <v>1750</v>
      </c>
      <c r="E32" s="1" t="s">
        <v>193</v>
      </c>
    </row>
    <row r="33" spans="2:5" s="1" customFormat="1" ht="19.5" customHeight="1">
      <c r="B33" s="1" t="s">
        <v>182</v>
      </c>
      <c r="C33" s="1" t="s">
        <v>177</v>
      </c>
      <c r="D33" s="32">
        <f>1.155*H29</f>
        <v>80.85000000000001</v>
      </c>
      <c r="E33" s="1" t="s">
        <v>119</v>
      </c>
    </row>
    <row r="34" spans="1:4" s="1" customFormat="1" ht="8.25" customHeight="1">
      <c r="A34" s="14"/>
      <c r="B34" s="14"/>
      <c r="D34" s="25"/>
    </row>
    <row r="35" spans="2:4" s="1" customFormat="1" ht="19.5" customHeight="1">
      <c r="B35" s="11"/>
      <c r="D35" s="15"/>
    </row>
    <row r="36" s="1" customFormat="1" ht="19.5" customHeight="1">
      <c r="D36" s="15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/>
  <dimension ref="A1:O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16" customWidth="1"/>
    <col min="5" max="5" width="6.99609375" style="16" customWidth="1"/>
    <col min="6" max="7" width="3.3359375" style="16" customWidth="1"/>
    <col min="8" max="8" width="6.88671875" style="16" customWidth="1"/>
    <col min="9" max="9" width="6.5546875" style="24" customWidth="1"/>
    <col min="10" max="12" width="3.3359375" style="16" customWidth="1"/>
    <col min="13" max="13" width="8.77734375" style="16" customWidth="1"/>
    <col min="14" max="14" width="4.99609375" style="16" customWidth="1"/>
    <col min="15" max="15" width="5.6640625" style="16" customWidth="1"/>
    <col min="16" max="16384" width="8.88671875" style="16" customWidth="1"/>
  </cols>
  <sheetData>
    <row r="1" spans="1:15" ht="19.5" customHeight="1">
      <c r="A1" s="17" t="s">
        <v>422</v>
      </c>
      <c r="B1" s="17"/>
      <c r="C1" s="17"/>
      <c r="D1" s="17"/>
      <c r="E1" s="17"/>
      <c r="F1" s="17"/>
      <c r="G1" s="17"/>
      <c r="H1" s="18"/>
      <c r="I1" s="26"/>
      <c r="J1" s="18"/>
      <c r="K1" s="18"/>
      <c r="L1" s="18"/>
      <c r="M1" s="19"/>
      <c r="N1" s="18"/>
      <c r="O1" s="18"/>
    </row>
    <row r="2" spans="7:14" ht="19.5" customHeight="1">
      <c r="G2" s="21"/>
      <c r="H2" s="20"/>
      <c r="I2" s="27"/>
      <c r="J2" s="20"/>
      <c r="K2" s="20"/>
      <c r="L2" s="20"/>
      <c r="M2" s="20"/>
      <c r="N2" s="20"/>
    </row>
    <row r="3" spans="1:14" ht="19.5" customHeight="1">
      <c r="A3" s="21" t="s">
        <v>443</v>
      </c>
      <c r="B3" s="21"/>
      <c r="C3" s="21"/>
      <c r="D3" s="21"/>
      <c r="E3" s="21"/>
      <c r="F3" s="21"/>
      <c r="G3" s="21"/>
      <c r="H3" s="20"/>
      <c r="I3" s="27"/>
      <c r="J3" s="20"/>
      <c r="K3" s="20"/>
      <c r="L3" s="20"/>
      <c r="M3" s="20"/>
      <c r="N3" s="20"/>
    </row>
    <row r="4" spans="1:14" ht="13.5" customHeight="1">
      <c r="A4" s="21"/>
      <c r="B4" s="21"/>
      <c r="C4" s="21"/>
      <c r="D4" s="21"/>
      <c r="E4" s="21"/>
      <c r="F4" s="21"/>
      <c r="G4" s="21"/>
      <c r="H4" s="20"/>
      <c r="I4" s="27"/>
      <c r="J4" s="20"/>
      <c r="K4" s="20"/>
      <c r="L4" s="20"/>
      <c r="M4" s="20"/>
      <c r="N4" s="20"/>
    </row>
    <row r="5" spans="6:8" ht="19.5" customHeight="1">
      <c r="F5" s="22"/>
      <c r="G5" s="22"/>
      <c r="H5" s="22" t="s">
        <v>438</v>
      </c>
    </row>
    <row r="6" spans="6:8" ht="19.5" customHeight="1">
      <c r="F6" s="22"/>
      <c r="G6" s="22"/>
      <c r="H6" s="22" t="s">
        <v>432</v>
      </c>
    </row>
    <row r="7" spans="6:8" ht="19.5" customHeight="1">
      <c r="F7" s="22"/>
      <c r="G7" s="22"/>
      <c r="H7" s="22" t="s">
        <v>433</v>
      </c>
    </row>
    <row r="8" spans="6:8" ht="19.5" customHeight="1">
      <c r="F8" s="60"/>
      <c r="G8" s="60"/>
      <c r="H8" s="65" t="s">
        <v>434</v>
      </c>
    </row>
    <row r="9" spans="6:8" ht="19.5" customHeight="1">
      <c r="F9" s="60"/>
      <c r="G9" s="60"/>
      <c r="H9" s="65" t="s">
        <v>435</v>
      </c>
    </row>
    <row r="10" spans="6:8" ht="19.5" customHeight="1">
      <c r="F10" s="60"/>
      <c r="G10" s="60"/>
      <c r="H10" s="65" t="s">
        <v>436</v>
      </c>
    </row>
    <row r="11" spans="6:8" ht="19.5" customHeight="1">
      <c r="F11" s="60"/>
      <c r="G11" s="60"/>
      <c r="H11" s="65" t="s">
        <v>437</v>
      </c>
    </row>
    <row r="12" spans="6:8" ht="7.5" customHeight="1">
      <c r="F12" s="60"/>
      <c r="G12" s="60"/>
      <c r="H12" s="65"/>
    </row>
    <row r="13" spans="6:8" ht="19.5" customHeight="1">
      <c r="F13" s="59"/>
      <c r="G13" s="59"/>
      <c r="H13" s="59" t="s">
        <v>441</v>
      </c>
    </row>
    <row r="14" spans="6:8" ht="19.5" customHeight="1">
      <c r="F14" s="59"/>
      <c r="G14" s="59"/>
      <c r="H14" s="59" t="s">
        <v>442</v>
      </c>
    </row>
    <row r="15" spans="6:8" ht="7.5" customHeight="1">
      <c r="F15" s="38"/>
      <c r="G15" s="38"/>
      <c r="H15" s="38"/>
    </row>
    <row r="16" spans="6:8" ht="19.5" customHeight="1">
      <c r="F16" s="61"/>
      <c r="G16" s="61"/>
      <c r="H16" s="61" t="s">
        <v>477</v>
      </c>
    </row>
    <row r="17" spans="6:8" ht="19.5" customHeight="1">
      <c r="F17" s="61"/>
      <c r="G17" s="61"/>
      <c r="H17" s="61" t="s">
        <v>478</v>
      </c>
    </row>
    <row r="18" ht="9.75" customHeight="1">
      <c r="G18" s="38"/>
    </row>
    <row r="19" spans="1:7" ht="19.5" customHeight="1">
      <c r="A19" s="14"/>
      <c r="G19" s="38"/>
    </row>
    <row r="20" spans="1:7" ht="5.25" customHeight="1">
      <c r="A20" s="14"/>
      <c r="G20" s="38"/>
    </row>
    <row r="21" spans="1:7" ht="19.5" customHeight="1">
      <c r="A21" s="1"/>
      <c r="B21" s="1" t="s">
        <v>144</v>
      </c>
      <c r="C21" s="1"/>
      <c r="D21" s="1"/>
      <c r="E21" s="1"/>
      <c r="F21" s="1"/>
      <c r="G21" s="1"/>
    </row>
    <row r="22" spans="7:13" s="1" customFormat="1" ht="7.5" customHeight="1">
      <c r="G22" s="11"/>
      <c r="H22" s="11"/>
      <c r="I22" s="25"/>
      <c r="J22" s="25"/>
      <c r="K22" s="25"/>
      <c r="L22" s="11"/>
      <c r="M22" s="13"/>
    </row>
    <row r="23" spans="1:13" s="1" customFormat="1" ht="19.5" customHeight="1">
      <c r="A23" s="11"/>
      <c r="B23" s="11" t="s">
        <v>423</v>
      </c>
      <c r="C23" s="11"/>
      <c r="D23" s="11"/>
      <c r="E23" s="11"/>
      <c r="F23" s="11" t="s">
        <v>428</v>
      </c>
      <c r="G23" s="11" t="s">
        <v>118</v>
      </c>
      <c r="H23" s="13">
        <v>15</v>
      </c>
      <c r="I23" s="11" t="s">
        <v>427</v>
      </c>
      <c r="J23" s="25"/>
      <c r="K23" s="11"/>
      <c r="L23" s="11"/>
      <c r="M23" s="13"/>
    </row>
    <row r="24" spans="1:13" s="1" customFormat="1" ht="19.5" customHeight="1">
      <c r="A24" s="11"/>
      <c r="B24" s="11" t="s">
        <v>133</v>
      </c>
      <c r="C24" s="11"/>
      <c r="D24" s="11"/>
      <c r="E24" s="11"/>
      <c r="F24" s="11" t="s">
        <v>167</v>
      </c>
      <c r="G24" s="11" t="s">
        <v>118</v>
      </c>
      <c r="H24" s="13">
        <v>400</v>
      </c>
      <c r="I24" s="11" t="s">
        <v>117</v>
      </c>
      <c r="K24" s="11"/>
      <c r="L24" s="11"/>
      <c r="M24" s="13"/>
    </row>
    <row r="25" spans="2:13" s="1" customFormat="1" ht="19.5" customHeight="1">
      <c r="B25" s="1" t="s">
        <v>424</v>
      </c>
      <c r="C25" s="14"/>
      <c r="F25" s="11" t="s">
        <v>429</v>
      </c>
      <c r="G25" s="1" t="s">
        <v>118</v>
      </c>
      <c r="H25" s="13">
        <v>1202.3</v>
      </c>
      <c r="I25" s="11" t="s">
        <v>427</v>
      </c>
      <c r="K25" s="11"/>
      <c r="L25" s="11"/>
      <c r="M25" s="13"/>
    </row>
    <row r="26" spans="2:8" s="1" customFormat="1" ht="19.5" customHeight="1">
      <c r="B26" s="1" t="s">
        <v>425</v>
      </c>
      <c r="F26" s="1" t="s">
        <v>430</v>
      </c>
      <c r="G26" s="1" t="s">
        <v>118</v>
      </c>
      <c r="H26" s="13">
        <v>0.85</v>
      </c>
    </row>
    <row r="27" spans="2:10" s="1" customFormat="1" ht="19.5" customHeight="1">
      <c r="B27" s="1" t="s">
        <v>426</v>
      </c>
      <c r="F27" s="1" t="s">
        <v>431</v>
      </c>
      <c r="G27" s="1" t="s">
        <v>118</v>
      </c>
      <c r="H27" s="13">
        <v>3</v>
      </c>
      <c r="I27" s="1" t="s">
        <v>117</v>
      </c>
      <c r="J27" s="8"/>
    </row>
    <row r="28" spans="7:10" s="1" customFormat="1" ht="7.5" customHeight="1">
      <c r="G28" s="24"/>
      <c r="I28" s="7"/>
      <c r="J28" s="8"/>
    </row>
    <row r="29" spans="2:10" s="1" customFormat="1" ht="19.5" customHeight="1">
      <c r="B29" s="25" t="s">
        <v>439</v>
      </c>
      <c r="C29" s="1" t="s">
        <v>118</v>
      </c>
      <c r="D29" s="126">
        <f>(H23*(H24/2)/(H25*H26-0.6*H23))+H27</f>
        <v>5.9616320567053815</v>
      </c>
      <c r="E29" s="1" t="s">
        <v>117</v>
      </c>
      <c r="G29" s="24"/>
      <c r="I29" s="7"/>
      <c r="J29" s="8"/>
    </row>
    <row r="30" spans="1:10" s="1" customFormat="1" ht="19.5" customHeight="1">
      <c r="A30" s="63"/>
      <c r="B30" s="64" t="s">
        <v>440</v>
      </c>
      <c r="C30" s="1" t="s">
        <v>118</v>
      </c>
      <c r="D30" s="62">
        <f>(H23*H24/(2*H25-0.2*H23))+H27</f>
        <v>5.498334443704197</v>
      </c>
      <c r="E30" s="1" t="s">
        <v>452</v>
      </c>
      <c r="F30" s="63"/>
      <c r="G30" s="24"/>
      <c r="I30" s="7"/>
      <c r="J30" s="8"/>
    </row>
    <row r="31" spans="1:13" s="1" customFormat="1" ht="19.5" customHeight="1">
      <c r="A31" s="14"/>
      <c r="B31" s="1" t="s">
        <v>451</v>
      </c>
      <c r="C31" s="14"/>
      <c r="D31" s="14"/>
      <c r="E31" s="14"/>
      <c r="F31" s="14"/>
      <c r="G31" s="1" t="s">
        <v>118</v>
      </c>
      <c r="H31" s="126">
        <f>D30*1.15</f>
        <v>6.3230846102598255</v>
      </c>
      <c r="I31" s="11" t="s">
        <v>117</v>
      </c>
      <c r="M31" s="12"/>
    </row>
    <row r="32" spans="1:14" s="1" customFormat="1" ht="19.5" customHeight="1">
      <c r="A32" s="14"/>
      <c r="B32" s="14"/>
      <c r="C32" s="14"/>
      <c r="D32" s="14"/>
      <c r="E32" s="14"/>
      <c r="F32" s="14"/>
      <c r="G32" s="24"/>
      <c r="I32" s="7"/>
      <c r="J32" s="8"/>
      <c r="N32" s="2"/>
    </row>
    <row r="33" spans="1:14" s="1" customFormat="1" ht="19.5" customHeight="1">
      <c r="A33" s="21" t="s">
        <v>450</v>
      </c>
      <c r="B33" s="14"/>
      <c r="C33" s="14"/>
      <c r="D33" s="14"/>
      <c r="E33" s="14"/>
      <c r="F33" s="14"/>
      <c r="G33" s="24"/>
      <c r="I33" s="7"/>
      <c r="J33" s="8"/>
      <c r="N33" s="2"/>
    </row>
    <row r="34" spans="1:14" s="1" customFormat="1" ht="7.5" customHeight="1">
      <c r="A34" s="21"/>
      <c r="B34" s="14"/>
      <c r="C34" s="14"/>
      <c r="D34" s="14"/>
      <c r="E34" s="14"/>
      <c r="F34" s="14"/>
      <c r="G34" s="24"/>
      <c r="I34" s="7"/>
      <c r="J34" s="8"/>
      <c r="N34" s="2"/>
    </row>
    <row r="35" spans="1:14" s="1" customFormat="1" ht="19.5" customHeight="1">
      <c r="A35" s="21"/>
      <c r="B35" s="11" t="s">
        <v>444</v>
      </c>
      <c r="C35" s="11"/>
      <c r="D35" s="11"/>
      <c r="E35" s="11"/>
      <c r="F35" s="11" t="s">
        <v>418</v>
      </c>
      <c r="G35" s="11" t="s">
        <v>118</v>
      </c>
      <c r="H35" s="13">
        <v>1000</v>
      </c>
      <c r="I35" s="11" t="s">
        <v>117</v>
      </c>
      <c r="J35" s="8"/>
      <c r="N35" s="2"/>
    </row>
    <row r="36" spans="1:14" s="1" customFormat="1" ht="19.5" customHeight="1">
      <c r="A36" s="21"/>
      <c r="B36" s="11" t="s">
        <v>445</v>
      </c>
      <c r="C36" s="11"/>
      <c r="D36" s="11"/>
      <c r="E36" s="11"/>
      <c r="F36" s="11" t="s">
        <v>168</v>
      </c>
      <c r="G36" s="11" t="s">
        <v>118</v>
      </c>
      <c r="H36" s="13">
        <v>700</v>
      </c>
      <c r="I36" s="11" t="s">
        <v>117</v>
      </c>
      <c r="J36" s="8"/>
      <c r="N36" s="2"/>
    </row>
    <row r="37" spans="1:14" s="1" customFormat="1" ht="19.5" customHeight="1">
      <c r="A37" s="21"/>
      <c r="B37" s="1" t="s">
        <v>446</v>
      </c>
      <c r="C37" s="14"/>
      <c r="F37" s="11" t="s">
        <v>215</v>
      </c>
      <c r="G37" s="1" t="s">
        <v>118</v>
      </c>
      <c r="H37" s="13">
        <v>381</v>
      </c>
      <c r="I37" s="11" t="s">
        <v>117</v>
      </c>
      <c r="J37" s="8"/>
      <c r="N37" s="2"/>
    </row>
    <row r="38" spans="1:14" s="1" customFormat="1" ht="19.5" customHeight="1">
      <c r="A38" s="21"/>
      <c r="C38" s="14"/>
      <c r="F38" s="11"/>
      <c r="H38" s="13"/>
      <c r="I38" s="11"/>
      <c r="J38" s="8"/>
      <c r="N38" s="2"/>
    </row>
    <row r="39" spans="1:14" s="1" customFormat="1" ht="19.5" customHeight="1">
      <c r="A39" s="21"/>
      <c r="B39" s="25" t="s">
        <v>447</v>
      </c>
      <c r="C39" s="1" t="s">
        <v>449</v>
      </c>
      <c r="D39" s="126">
        <f>(3.141592*(H24*0.001)^2*H36*0.001/4)+(2*3.141592*(H24*0.001)^3/24)+(3.141592*(H37*0.001)^2*(H35-H24)*0.001*1.03/4)</f>
        <v>0.1751773936435374</v>
      </c>
      <c r="E39" s="1" t="s">
        <v>448</v>
      </c>
      <c r="F39" s="11"/>
      <c r="H39" s="13"/>
      <c r="I39" s="11"/>
      <c r="J39" s="8"/>
      <c r="N39" s="2"/>
    </row>
    <row r="40" spans="1:14" s="1" customFormat="1" ht="19.5" customHeight="1">
      <c r="A40" s="21"/>
      <c r="B40" s="25"/>
      <c r="D40" s="62"/>
      <c r="F40" s="11"/>
      <c r="H40" s="13"/>
      <c r="I40" s="11"/>
      <c r="J40" s="8"/>
      <c r="N40" s="2"/>
    </row>
    <row r="41" spans="1:14" s="1" customFormat="1" ht="19.5" customHeight="1">
      <c r="A41" s="21"/>
      <c r="B41" s="25"/>
      <c r="D41" s="12"/>
      <c r="F41" s="11"/>
      <c r="H41" s="13"/>
      <c r="I41" s="11"/>
      <c r="J41" s="8"/>
      <c r="N41" s="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/>
  <dimension ref="A1:R39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I21" sqref="I21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16" customWidth="1"/>
    <col min="5" max="5" width="7.99609375" style="16" customWidth="1"/>
    <col min="6" max="6" width="9.77734375" style="16" customWidth="1"/>
    <col min="7" max="8" width="3.3359375" style="16" customWidth="1"/>
    <col min="9" max="9" width="6.88671875" style="16" customWidth="1"/>
    <col min="10" max="10" width="6.5546875" style="24" customWidth="1"/>
    <col min="11" max="13" width="3.3359375" style="16" customWidth="1"/>
    <col min="14" max="14" width="8.77734375" style="16" customWidth="1"/>
    <col min="15" max="15" width="4.99609375" style="16" customWidth="1"/>
    <col min="16" max="16" width="5.6640625" style="16" customWidth="1"/>
    <col min="17" max="16384" width="8.88671875" style="16" customWidth="1"/>
  </cols>
  <sheetData>
    <row r="1" spans="1:18" ht="19.5" customHeight="1">
      <c r="A1" s="17" t="s">
        <v>479</v>
      </c>
      <c r="B1" s="17"/>
      <c r="C1" s="17"/>
      <c r="D1" s="17"/>
      <c r="E1" s="17"/>
      <c r="F1" s="17"/>
      <c r="G1" s="17"/>
      <c r="H1" s="17"/>
      <c r="I1" s="18"/>
      <c r="J1" s="26"/>
      <c r="K1" s="18"/>
      <c r="L1" s="18"/>
      <c r="M1" s="18"/>
      <c r="N1" s="19"/>
      <c r="O1" s="20"/>
      <c r="P1" s="20"/>
      <c r="Q1" s="20"/>
      <c r="R1" s="20"/>
    </row>
    <row r="2" spans="8:15" ht="19.5" customHeight="1">
      <c r="H2" s="21"/>
      <c r="I2" s="20"/>
      <c r="J2" s="27"/>
      <c r="K2" s="20"/>
      <c r="L2" s="20"/>
      <c r="M2" s="20"/>
      <c r="N2" s="20"/>
      <c r="O2" s="20"/>
    </row>
    <row r="3" spans="1:15" ht="19.5" customHeight="1">
      <c r="A3" s="21" t="s">
        <v>491</v>
      </c>
      <c r="B3" s="21"/>
      <c r="C3" s="21"/>
      <c r="D3" s="21"/>
      <c r="E3" s="21"/>
      <c r="F3" s="21"/>
      <c r="G3" s="21"/>
      <c r="H3" s="21"/>
      <c r="I3" s="20"/>
      <c r="J3" s="27"/>
      <c r="K3" s="20"/>
      <c r="L3" s="20"/>
      <c r="M3" s="20"/>
      <c r="N3" s="20"/>
      <c r="O3" s="20"/>
    </row>
    <row r="4" spans="1:15" ht="13.5" customHeight="1">
      <c r="A4" s="21"/>
      <c r="B4" s="21"/>
      <c r="C4" s="21"/>
      <c r="D4" s="21"/>
      <c r="E4" s="21"/>
      <c r="F4" s="21"/>
      <c r="G4" s="21"/>
      <c r="H4" s="21"/>
      <c r="I4" s="20"/>
      <c r="J4" s="27"/>
      <c r="K4" s="20"/>
      <c r="L4" s="20"/>
      <c r="M4" s="20"/>
      <c r="N4" s="20"/>
      <c r="O4" s="20"/>
    </row>
    <row r="5" spans="1:15" ht="19.5" customHeight="1">
      <c r="A5" s="21"/>
      <c r="B5" s="21"/>
      <c r="C5" s="21"/>
      <c r="D5" s="21"/>
      <c r="E5" s="21"/>
      <c r="F5" s="20" t="s">
        <v>469</v>
      </c>
      <c r="G5" s="20"/>
      <c r="H5" s="21"/>
      <c r="I5" s="20"/>
      <c r="J5" s="27"/>
      <c r="K5" s="20"/>
      <c r="L5" s="20"/>
      <c r="M5" s="20"/>
      <c r="N5" s="20"/>
      <c r="O5" s="20"/>
    </row>
    <row r="6" spans="1:15" ht="19.5" customHeight="1">
      <c r="A6" s="21"/>
      <c r="B6" s="21"/>
      <c r="C6" s="21"/>
      <c r="D6" s="21"/>
      <c r="E6" s="21"/>
      <c r="F6" s="20" t="s">
        <v>455</v>
      </c>
      <c r="G6" s="20"/>
      <c r="H6" s="21"/>
      <c r="I6" s="20"/>
      <c r="J6" s="27"/>
      <c r="K6" s="20"/>
      <c r="L6" s="20"/>
      <c r="M6" s="20"/>
      <c r="N6" s="20"/>
      <c r="O6" s="20"/>
    </row>
    <row r="7" spans="6:8" ht="19.5" customHeight="1">
      <c r="F7" s="16" t="s">
        <v>470</v>
      </c>
      <c r="H7" s="22"/>
    </row>
    <row r="8" spans="6:8" ht="19.5" customHeight="1">
      <c r="F8" s="16" t="s">
        <v>471</v>
      </c>
      <c r="H8" s="22"/>
    </row>
    <row r="9" spans="6:8" ht="19.5" customHeight="1">
      <c r="F9" s="16" t="s">
        <v>472</v>
      </c>
      <c r="H9" s="22"/>
    </row>
    <row r="10" spans="6:8" ht="19.5" customHeight="1">
      <c r="F10" s="16" t="s">
        <v>473</v>
      </c>
      <c r="H10" s="1"/>
    </row>
    <row r="11" spans="6:8" ht="19.5" customHeight="1">
      <c r="F11" s="16" t="s">
        <v>474</v>
      </c>
      <c r="H11" s="1"/>
    </row>
    <row r="12" spans="6:8" ht="19.5" customHeight="1">
      <c r="F12" s="16" t="s">
        <v>475</v>
      </c>
      <c r="H12" s="1"/>
    </row>
    <row r="13" ht="7.5" customHeight="1">
      <c r="H13" s="1"/>
    </row>
    <row r="14" spans="6:9" ht="19.5" customHeight="1">
      <c r="F14" s="38" t="s">
        <v>454</v>
      </c>
      <c r="G14" s="38"/>
      <c r="H14" s="59"/>
      <c r="I14" s="38"/>
    </row>
    <row r="15" spans="6:9" ht="19.5" customHeight="1">
      <c r="F15" s="59" t="s">
        <v>456</v>
      </c>
      <c r="G15" s="59"/>
      <c r="H15" s="59"/>
      <c r="I15" s="59"/>
    </row>
    <row r="16" spans="7:9" ht="7.5" customHeight="1">
      <c r="G16" s="59"/>
      <c r="H16" s="38"/>
      <c r="I16" s="38"/>
    </row>
    <row r="17" spans="6:9" ht="19.5" customHeight="1">
      <c r="F17" s="2" t="s">
        <v>476</v>
      </c>
      <c r="G17" s="2"/>
      <c r="H17" s="2"/>
      <c r="I17" s="2"/>
    </row>
    <row r="18" spans="1:8" ht="19.5" customHeight="1">
      <c r="A18" s="14"/>
      <c r="H18" s="38"/>
    </row>
    <row r="19" spans="1:8" ht="19.5" customHeight="1">
      <c r="A19" s="1"/>
      <c r="B19" s="1" t="s">
        <v>276</v>
      </c>
      <c r="C19" s="1"/>
      <c r="D19" s="1"/>
      <c r="E19" s="1"/>
      <c r="F19" s="1"/>
      <c r="G19" s="1"/>
      <c r="H19" s="1"/>
    </row>
    <row r="20" spans="8:14" s="1" customFormat="1" ht="7.5" customHeight="1">
      <c r="H20" s="11"/>
      <c r="I20" s="11"/>
      <c r="J20" s="25"/>
      <c r="K20" s="25"/>
      <c r="L20" s="25"/>
      <c r="M20" s="11"/>
      <c r="N20" s="13"/>
    </row>
    <row r="21" spans="1:14" s="1" customFormat="1" ht="19.5" customHeight="1">
      <c r="A21" s="11"/>
      <c r="B21" s="11" t="s">
        <v>457</v>
      </c>
      <c r="C21" s="11"/>
      <c r="D21" s="11"/>
      <c r="E21" s="11"/>
      <c r="F21" s="11"/>
      <c r="G21" s="11" t="s">
        <v>431</v>
      </c>
      <c r="H21" s="11" t="s">
        <v>277</v>
      </c>
      <c r="I21" s="13">
        <v>25</v>
      </c>
      <c r="J21" s="11" t="s">
        <v>453</v>
      </c>
      <c r="K21" s="25"/>
      <c r="L21" s="11"/>
      <c r="M21" s="11"/>
      <c r="N21" s="13"/>
    </row>
    <row r="22" spans="1:14" s="1" customFormat="1" ht="19.5" customHeight="1">
      <c r="A22" s="11"/>
      <c r="B22" s="1" t="s">
        <v>458</v>
      </c>
      <c r="C22" s="11"/>
      <c r="D22" s="11"/>
      <c r="E22" s="11"/>
      <c r="F22" s="11"/>
      <c r="G22" s="11" t="s">
        <v>421</v>
      </c>
      <c r="H22" s="11" t="s">
        <v>277</v>
      </c>
      <c r="I22" s="67">
        <v>3</v>
      </c>
      <c r="J22" s="11" t="s">
        <v>453</v>
      </c>
      <c r="L22" s="11"/>
      <c r="M22" s="11"/>
      <c r="N22" s="13"/>
    </row>
    <row r="23" spans="1:14" s="1" customFormat="1" ht="19.5" customHeight="1">
      <c r="A23" s="11"/>
      <c r="B23" s="1" t="s">
        <v>466</v>
      </c>
      <c r="C23" s="11"/>
      <c r="D23" s="11"/>
      <c r="E23" s="11"/>
      <c r="F23" s="11"/>
      <c r="G23" s="11" t="s">
        <v>167</v>
      </c>
      <c r="H23" s="11" t="s">
        <v>118</v>
      </c>
      <c r="I23" s="66">
        <v>0.75</v>
      </c>
      <c r="J23" s="11" t="s">
        <v>467</v>
      </c>
      <c r="L23" s="11"/>
      <c r="M23" s="11"/>
      <c r="N23" s="13"/>
    </row>
    <row r="24" spans="2:14" s="1" customFormat="1" ht="19.5" customHeight="1">
      <c r="B24" s="1" t="s">
        <v>459</v>
      </c>
      <c r="C24" s="14"/>
      <c r="G24" s="11" t="s">
        <v>215</v>
      </c>
      <c r="H24" s="1" t="s">
        <v>277</v>
      </c>
      <c r="I24" s="31">
        <f>I23*25.4</f>
        <v>19.049999999999997</v>
      </c>
      <c r="J24" s="11" t="s">
        <v>453</v>
      </c>
      <c r="L24" s="11"/>
      <c r="M24" s="11"/>
      <c r="N24" s="13"/>
    </row>
    <row r="25" spans="2:10" s="1" customFormat="1" ht="19.5" customHeight="1">
      <c r="B25" s="1" t="s">
        <v>460</v>
      </c>
      <c r="G25" s="1" t="s">
        <v>463</v>
      </c>
      <c r="H25" s="1" t="s">
        <v>277</v>
      </c>
      <c r="I25" s="67">
        <v>0</v>
      </c>
      <c r="J25" s="11" t="s">
        <v>453</v>
      </c>
    </row>
    <row r="26" spans="2:10" s="1" customFormat="1" ht="19.5" customHeight="1">
      <c r="B26" s="1" t="s">
        <v>461</v>
      </c>
      <c r="G26" s="1" t="s">
        <v>464</v>
      </c>
      <c r="H26" s="1" t="s">
        <v>118</v>
      </c>
      <c r="I26" s="13">
        <v>4.5</v>
      </c>
      <c r="J26" s="11" t="s">
        <v>453</v>
      </c>
    </row>
    <row r="27" spans="2:10" s="1" customFormat="1" ht="19.5" customHeight="1">
      <c r="B27" s="1" t="s">
        <v>462</v>
      </c>
      <c r="G27" s="1" t="s">
        <v>465</v>
      </c>
      <c r="H27" s="1" t="s">
        <v>118</v>
      </c>
      <c r="I27" s="67">
        <v>1.6</v>
      </c>
      <c r="J27" s="11" t="s">
        <v>453</v>
      </c>
    </row>
    <row r="28" spans="8:11" s="1" customFormat="1" ht="14.25" customHeight="1">
      <c r="H28" s="24"/>
      <c r="J28" s="7"/>
      <c r="K28" s="8"/>
    </row>
    <row r="29" spans="2:11" s="1" customFormat="1" ht="19.5" customHeight="1">
      <c r="B29" s="25" t="s">
        <v>468</v>
      </c>
      <c r="C29" s="1" t="s">
        <v>277</v>
      </c>
      <c r="D29" s="32">
        <f>2*(I21+I22+I24)+I26+I25</f>
        <v>98.6</v>
      </c>
      <c r="E29" s="1" t="s">
        <v>453</v>
      </c>
      <c r="H29" s="24"/>
      <c r="J29" s="7"/>
      <c r="K29" s="8"/>
    </row>
    <row r="30" spans="2:11" s="1" customFormat="1" ht="9.75" customHeight="1">
      <c r="B30" s="25"/>
      <c r="D30" s="32"/>
      <c r="H30" s="24"/>
      <c r="J30" s="7"/>
      <c r="K30" s="8"/>
    </row>
    <row r="31" spans="1:11" s="1" customFormat="1" ht="19.5" customHeight="1">
      <c r="A31" s="63"/>
      <c r="B31" s="64" t="s">
        <v>418</v>
      </c>
      <c r="C31" s="1" t="s">
        <v>277</v>
      </c>
      <c r="D31" s="125">
        <f>D29+I27</f>
        <v>100.19999999999999</v>
      </c>
      <c r="E31" s="1" t="s">
        <v>453</v>
      </c>
      <c r="G31" s="63"/>
      <c r="H31" s="24"/>
      <c r="J31" s="7"/>
      <c r="K31" s="8"/>
    </row>
    <row r="32" spans="1:14" s="1" customFormat="1" ht="19.5" customHeight="1">
      <c r="A32" s="14"/>
      <c r="B32" s="14"/>
      <c r="C32" s="14"/>
      <c r="D32" s="14"/>
      <c r="E32" s="14"/>
      <c r="F32" s="14"/>
      <c r="G32" s="14"/>
      <c r="J32" s="25"/>
      <c r="N32" s="12"/>
    </row>
    <row r="33" spans="1:14" s="1" customFormat="1" ht="19.5" customHeight="1">
      <c r="A33" s="14"/>
      <c r="B33" s="14"/>
      <c r="C33" s="14"/>
      <c r="D33" s="14"/>
      <c r="E33" s="14"/>
      <c r="F33" s="14"/>
      <c r="G33" s="14"/>
      <c r="J33" s="25"/>
      <c r="N33" s="12"/>
    </row>
    <row r="34" spans="1:14" s="1" customFormat="1" ht="19.5" customHeight="1">
      <c r="A34" s="14"/>
      <c r="B34" s="14"/>
      <c r="C34" s="14"/>
      <c r="D34" s="14"/>
      <c r="E34" s="14"/>
      <c r="F34" s="14"/>
      <c r="G34" s="14"/>
      <c r="J34" s="25"/>
      <c r="N34" s="12"/>
    </row>
    <row r="35" spans="1:14" s="1" customFormat="1" ht="19.5" customHeight="1">
      <c r="A35" s="14"/>
      <c r="B35" s="14"/>
      <c r="C35" s="14"/>
      <c r="D35" s="14"/>
      <c r="E35" s="14"/>
      <c r="F35" s="14"/>
      <c r="G35" s="14"/>
      <c r="J35" s="25"/>
      <c r="N35" s="12"/>
    </row>
    <row r="36" spans="1:14" s="1" customFormat="1" ht="19.5" customHeight="1">
      <c r="A36" s="14"/>
      <c r="B36" s="14"/>
      <c r="C36" s="14"/>
      <c r="D36" s="14"/>
      <c r="E36" s="14"/>
      <c r="F36" s="14"/>
      <c r="G36" s="14"/>
      <c r="J36" s="25"/>
      <c r="N36" s="12"/>
    </row>
    <row r="37" spans="1:14" s="1" customFormat="1" ht="19.5" customHeight="1">
      <c r="A37" s="14"/>
      <c r="B37" s="14"/>
      <c r="C37" s="14"/>
      <c r="D37" s="14"/>
      <c r="E37" s="14"/>
      <c r="F37" s="14"/>
      <c r="G37" s="14"/>
      <c r="J37" s="25"/>
      <c r="N37" s="12"/>
    </row>
    <row r="38" spans="1:14" s="1" customFormat="1" ht="19.5" customHeight="1">
      <c r="A38" s="14"/>
      <c r="B38" s="14"/>
      <c r="C38" s="14"/>
      <c r="D38" s="14"/>
      <c r="E38" s="14"/>
      <c r="F38" s="14"/>
      <c r="G38" s="14"/>
      <c r="J38" s="25"/>
      <c r="N38" s="12"/>
    </row>
    <row r="39" spans="1:15" s="1" customFormat="1" ht="19.5" customHeight="1">
      <c r="A39" s="21"/>
      <c r="B39" s="25"/>
      <c r="D39" s="12"/>
      <c r="G39" s="11"/>
      <c r="I39" s="13"/>
      <c r="J39" s="11"/>
      <c r="K39" s="8"/>
      <c r="O39" s="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/>
  <dimension ref="A1:R38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I15" sqref="I15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16" customWidth="1"/>
    <col min="5" max="5" width="7.99609375" style="16" customWidth="1"/>
    <col min="6" max="6" width="9.77734375" style="16" customWidth="1"/>
    <col min="7" max="8" width="3.3359375" style="16" customWidth="1"/>
    <col min="9" max="9" width="6.88671875" style="16" customWidth="1"/>
    <col min="10" max="10" width="6.5546875" style="24" customWidth="1"/>
    <col min="11" max="13" width="3.3359375" style="16" customWidth="1"/>
    <col min="14" max="14" width="8.77734375" style="16" customWidth="1"/>
    <col min="15" max="15" width="4.99609375" style="16" customWidth="1"/>
    <col min="16" max="16" width="5.6640625" style="16" customWidth="1"/>
    <col min="17" max="16384" width="8.88671875" style="16" customWidth="1"/>
  </cols>
  <sheetData>
    <row r="1" spans="1:18" ht="19.5" customHeight="1">
      <c r="A1" s="17" t="s">
        <v>480</v>
      </c>
      <c r="B1" s="17"/>
      <c r="C1" s="17"/>
      <c r="D1" s="17"/>
      <c r="E1" s="17"/>
      <c r="F1" s="17"/>
      <c r="G1" s="17"/>
      <c r="H1" s="17"/>
      <c r="I1" s="18"/>
      <c r="J1" s="26"/>
      <c r="K1" s="18"/>
      <c r="L1" s="18"/>
      <c r="M1" s="18"/>
      <c r="N1" s="19"/>
      <c r="O1" s="20"/>
      <c r="P1" s="20"/>
      <c r="Q1" s="20"/>
      <c r="R1" s="20"/>
    </row>
    <row r="2" spans="8:15" ht="19.5" customHeight="1">
      <c r="H2" s="21"/>
      <c r="I2" s="20"/>
      <c r="J2" s="27"/>
      <c r="K2" s="20"/>
      <c r="L2" s="20"/>
      <c r="M2" s="20"/>
      <c r="N2" s="20"/>
      <c r="O2" s="20"/>
    </row>
    <row r="3" spans="1:15" ht="19.5" customHeight="1">
      <c r="A3" s="21" t="s">
        <v>492</v>
      </c>
      <c r="B3" s="21"/>
      <c r="C3" s="21"/>
      <c r="D3" s="21"/>
      <c r="E3" s="21"/>
      <c r="F3" s="21"/>
      <c r="G3" s="21"/>
      <c r="H3" s="21"/>
      <c r="I3" s="20"/>
      <c r="J3" s="27"/>
      <c r="K3" s="20"/>
      <c r="L3" s="20"/>
      <c r="M3" s="20"/>
      <c r="N3" s="20"/>
      <c r="O3" s="20"/>
    </row>
    <row r="4" spans="1:15" ht="13.5" customHeight="1">
      <c r="A4" s="21"/>
      <c r="B4" s="21"/>
      <c r="C4" s="21"/>
      <c r="D4" s="21"/>
      <c r="E4" s="21"/>
      <c r="F4" s="21"/>
      <c r="G4" s="21"/>
      <c r="H4" s="21"/>
      <c r="I4" s="20"/>
      <c r="J4" s="27"/>
      <c r="K4" s="20"/>
      <c r="L4" s="20"/>
      <c r="M4" s="20"/>
      <c r="N4" s="20"/>
      <c r="O4" s="20"/>
    </row>
    <row r="5" spans="1:15" ht="19.5" customHeight="1">
      <c r="A5" s="21"/>
      <c r="B5" s="21"/>
      <c r="C5" s="21"/>
      <c r="D5" s="21"/>
      <c r="E5" s="21"/>
      <c r="F5" s="20" t="s">
        <v>481</v>
      </c>
      <c r="G5" s="20"/>
      <c r="H5" s="21"/>
      <c r="I5" s="20"/>
      <c r="J5" s="27"/>
      <c r="K5" s="20"/>
      <c r="L5" s="20"/>
      <c r="M5" s="20"/>
      <c r="N5" s="20"/>
      <c r="O5" s="20"/>
    </row>
    <row r="6" spans="1:15" ht="19.5" customHeight="1">
      <c r="A6" s="21"/>
      <c r="B6" s="21"/>
      <c r="C6" s="21"/>
      <c r="D6" s="21"/>
      <c r="E6" s="21"/>
      <c r="F6" s="16" t="s">
        <v>486</v>
      </c>
      <c r="G6" s="20"/>
      <c r="H6" s="21"/>
      <c r="I6" s="20"/>
      <c r="J6" s="27"/>
      <c r="K6" s="20"/>
      <c r="L6" s="20"/>
      <c r="M6" s="20"/>
      <c r="N6" s="20"/>
      <c r="O6" s="20"/>
    </row>
    <row r="7" spans="6:8" ht="19.5" customHeight="1">
      <c r="F7" s="16" t="s">
        <v>487</v>
      </c>
      <c r="H7" s="22"/>
    </row>
    <row r="8" ht="19.5" customHeight="1">
      <c r="H8" s="22"/>
    </row>
    <row r="9" spans="6:8" ht="19.5" customHeight="1">
      <c r="F9" s="38" t="s">
        <v>490</v>
      </c>
      <c r="H9" s="22"/>
    </row>
    <row r="10" ht="19.5" customHeight="1">
      <c r="H10" s="1"/>
    </row>
    <row r="11" spans="6:9" ht="19.5" customHeight="1">
      <c r="F11" s="2"/>
      <c r="G11" s="2"/>
      <c r="H11" s="2"/>
      <c r="I11" s="2"/>
    </row>
    <row r="12" spans="1:8" ht="19.5" customHeight="1">
      <c r="A12" s="14"/>
      <c r="H12" s="38"/>
    </row>
    <row r="13" spans="1:8" ht="19.5" customHeight="1">
      <c r="A13" s="1"/>
      <c r="B13" s="1" t="s">
        <v>276</v>
      </c>
      <c r="C13" s="1"/>
      <c r="D13" s="1"/>
      <c r="E13" s="1"/>
      <c r="F13" s="1"/>
      <c r="G13" s="1"/>
      <c r="H13" s="1"/>
    </row>
    <row r="14" spans="8:14" s="1" customFormat="1" ht="7.5" customHeight="1">
      <c r="H14" s="11"/>
      <c r="I14" s="11"/>
      <c r="J14" s="25"/>
      <c r="K14" s="25"/>
      <c r="L14" s="25"/>
      <c r="M14" s="11"/>
      <c r="N14" s="13"/>
    </row>
    <row r="15" spans="1:14" s="1" customFormat="1" ht="19.5" customHeight="1">
      <c r="A15" s="11"/>
      <c r="B15" s="11" t="s">
        <v>488</v>
      </c>
      <c r="C15" s="11"/>
      <c r="D15" s="11"/>
      <c r="E15" s="11"/>
      <c r="F15" s="11"/>
      <c r="G15" s="11" t="s">
        <v>421</v>
      </c>
      <c r="H15" s="11" t="s">
        <v>277</v>
      </c>
      <c r="I15" s="13">
        <v>24</v>
      </c>
      <c r="J15" s="11" t="s">
        <v>453</v>
      </c>
      <c r="K15" s="25"/>
      <c r="L15" s="11"/>
      <c r="M15" s="11"/>
      <c r="N15" s="13"/>
    </row>
    <row r="16" spans="1:14" s="1" customFormat="1" ht="19.5" customHeight="1">
      <c r="A16" s="11"/>
      <c r="B16" s="1" t="s">
        <v>482</v>
      </c>
      <c r="C16" s="11"/>
      <c r="D16" s="11"/>
      <c r="E16" s="11"/>
      <c r="F16" s="11"/>
      <c r="G16" s="11" t="s">
        <v>483</v>
      </c>
      <c r="H16" s="11" t="s">
        <v>277</v>
      </c>
      <c r="I16" s="13">
        <v>16</v>
      </c>
      <c r="J16" s="11" t="s">
        <v>453</v>
      </c>
      <c r="L16" s="11"/>
      <c r="M16" s="11"/>
      <c r="N16" s="13"/>
    </row>
    <row r="17" spans="2:14" s="1" customFormat="1" ht="19.5" customHeight="1">
      <c r="B17" s="1" t="s">
        <v>489</v>
      </c>
      <c r="C17" s="14"/>
      <c r="G17" s="11" t="s">
        <v>484</v>
      </c>
      <c r="H17" s="1" t="s">
        <v>277</v>
      </c>
      <c r="I17" s="68">
        <f>ROUNDUP(I16*0.8,0)</f>
        <v>13</v>
      </c>
      <c r="J17" s="11" t="s">
        <v>453</v>
      </c>
      <c r="L17" s="11"/>
      <c r="M17" s="11"/>
      <c r="N17" s="13"/>
    </row>
    <row r="18" spans="8:11" s="1" customFormat="1" ht="14.25" customHeight="1">
      <c r="H18" s="24"/>
      <c r="J18" s="7"/>
      <c r="K18" s="8"/>
    </row>
    <row r="19" spans="1:11" s="1" customFormat="1" ht="19.5" customHeight="1">
      <c r="A19" s="63"/>
      <c r="B19" s="64" t="s">
        <v>485</v>
      </c>
      <c r="C19" s="1" t="s">
        <v>277</v>
      </c>
      <c r="D19" s="125">
        <f>I15+I17+0.8*I16</f>
        <v>49.8</v>
      </c>
      <c r="E19" s="1" t="s">
        <v>453</v>
      </c>
      <c r="G19" s="63"/>
      <c r="H19" s="24"/>
      <c r="J19" s="7"/>
      <c r="K19" s="8"/>
    </row>
    <row r="20" spans="1:14" s="1" customFormat="1" ht="19.5" customHeight="1">
      <c r="A20" s="14"/>
      <c r="B20" s="14"/>
      <c r="C20" s="14"/>
      <c r="D20" s="14"/>
      <c r="E20" s="14"/>
      <c r="F20" s="14"/>
      <c r="G20" s="14"/>
      <c r="J20" s="25"/>
      <c r="N20" s="12"/>
    </row>
    <row r="21" spans="1:14" s="1" customFormat="1" ht="19.5" customHeight="1">
      <c r="A21" s="14"/>
      <c r="B21" s="14"/>
      <c r="C21" s="14"/>
      <c r="D21" s="14"/>
      <c r="E21" s="14"/>
      <c r="F21" s="14"/>
      <c r="G21" s="14"/>
      <c r="J21" s="25"/>
      <c r="N21" s="12"/>
    </row>
    <row r="22" spans="1:14" s="1" customFormat="1" ht="19.5" customHeight="1">
      <c r="A22" s="14"/>
      <c r="B22" s="14"/>
      <c r="C22" s="14"/>
      <c r="D22" s="14"/>
      <c r="E22" s="14"/>
      <c r="F22" s="14"/>
      <c r="G22" s="14"/>
      <c r="J22" s="25"/>
      <c r="N22" s="12"/>
    </row>
    <row r="23" spans="1:14" s="1" customFormat="1" ht="19.5" customHeight="1">
      <c r="A23" s="14"/>
      <c r="B23" s="14"/>
      <c r="C23" s="14"/>
      <c r="D23" s="14"/>
      <c r="E23" s="14"/>
      <c r="F23" s="14"/>
      <c r="G23" s="14"/>
      <c r="J23" s="25"/>
      <c r="N23" s="12"/>
    </row>
    <row r="24" spans="1:14" s="1" customFormat="1" ht="19.5" customHeight="1">
      <c r="A24" s="14"/>
      <c r="B24" s="14"/>
      <c r="C24" s="14"/>
      <c r="D24" s="14"/>
      <c r="E24" s="14"/>
      <c r="F24" s="14"/>
      <c r="G24" s="14"/>
      <c r="J24" s="25"/>
      <c r="N24" s="12"/>
    </row>
    <row r="25" spans="1:14" s="1" customFormat="1" ht="19.5" customHeight="1">
      <c r="A25" s="14"/>
      <c r="B25" s="14"/>
      <c r="C25" s="14"/>
      <c r="D25" s="14"/>
      <c r="E25" s="14"/>
      <c r="F25" s="14"/>
      <c r="G25" s="14"/>
      <c r="J25" s="25"/>
      <c r="N25" s="12"/>
    </row>
    <row r="26" spans="1:14" s="1" customFormat="1" ht="19.5" customHeight="1">
      <c r="A26" s="14"/>
      <c r="B26" s="14"/>
      <c r="C26" s="14"/>
      <c r="D26" s="14"/>
      <c r="E26" s="14"/>
      <c r="F26" s="14"/>
      <c r="G26" s="14"/>
      <c r="J26" s="25"/>
      <c r="N26" s="12"/>
    </row>
    <row r="27" spans="1:14" s="1" customFormat="1" ht="19.5" customHeight="1">
      <c r="A27" s="14"/>
      <c r="B27" s="14"/>
      <c r="C27" s="14"/>
      <c r="D27" s="14"/>
      <c r="E27" s="14"/>
      <c r="F27" s="14"/>
      <c r="G27" s="14"/>
      <c r="J27" s="25"/>
      <c r="N27" s="12"/>
    </row>
    <row r="28" spans="1:14" s="1" customFormat="1" ht="19.5" customHeight="1">
      <c r="A28" s="14"/>
      <c r="B28" s="14"/>
      <c r="C28" s="14"/>
      <c r="D28" s="14"/>
      <c r="E28" s="14"/>
      <c r="F28" s="14"/>
      <c r="G28" s="14"/>
      <c r="J28" s="25"/>
      <c r="N28" s="12"/>
    </row>
    <row r="29" spans="1:14" s="1" customFormat="1" ht="19.5" customHeight="1">
      <c r="A29" s="14"/>
      <c r="B29" s="14"/>
      <c r="C29" s="14"/>
      <c r="D29" s="14"/>
      <c r="E29" s="14"/>
      <c r="F29" s="14"/>
      <c r="G29" s="14"/>
      <c r="J29" s="25"/>
      <c r="N29" s="12"/>
    </row>
    <row r="30" spans="1:14" s="1" customFormat="1" ht="19.5" customHeight="1">
      <c r="A30" s="14"/>
      <c r="B30" s="14"/>
      <c r="C30" s="14"/>
      <c r="D30" s="14"/>
      <c r="E30" s="14"/>
      <c r="F30" s="14"/>
      <c r="G30" s="14"/>
      <c r="J30" s="25"/>
      <c r="N30" s="12"/>
    </row>
    <row r="31" spans="1:14" s="1" customFormat="1" ht="19.5" customHeight="1">
      <c r="A31" s="14"/>
      <c r="B31" s="14"/>
      <c r="C31" s="14"/>
      <c r="D31" s="14"/>
      <c r="E31" s="14"/>
      <c r="F31" s="14"/>
      <c r="G31" s="14"/>
      <c r="J31" s="25"/>
      <c r="N31" s="12"/>
    </row>
    <row r="32" spans="1:14" s="1" customFormat="1" ht="19.5" customHeight="1">
      <c r="A32" s="14"/>
      <c r="B32" s="14"/>
      <c r="C32" s="14"/>
      <c r="D32" s="14"/>
      <c r="E32" s="14"/>
      <c r="F32" s="14"/>
      <c r="G32" s="14"/>
      <c r="J32" s="25"/>
      <c r="N32" s="12"/>
    </row>
    <row r="33" spans="1:14" s="1" customFormat="1" ht="19.5" customHeight="1">
      <c r="A33" s="14"/>
      <c r="B33" s="14"/>
      <c r="C33" s="14"/>
      <c r="D33" s="14"/>
      <c r="E33" s="14"/>
      <c r="F33" s="14"/>
      <c r="G33" s="14"/>
      <c r="J33" s="25"/>
      <c r="N33" s="12"/>
    </row>
    <row r="34" spans="1:14" s="1" customFormat="1" ht="19.5" customHeight="1">
      <c r="A34" s="14"/>
      <c r="B34" s="14"/>
      <c r="C34" s="14"/>
      <c r="D34" s="14"/>
      <c r="E34" s="14"/>
      <c r="F34" s="14"/>
      <c r="G34" s="14"/>
      <c r="J34" s="25"/>
      <c r="N34" s="12"/>
    </row>
    <row r="35" spans="1:14" s="1" customFormat="1" ht="19.5" customHeight="1">
      <c r="A35" s="14"/>
      <c r="B35" s="14"/>
      <c r="C35" s="14"/>
      <c r="D35" s="14"/>
      <c r="E35" s="14"/>
      <c r="F35" s="14"/>
      <c r="G35" s="14"/>
      <c r="J35" s="25"/>
      <c r="N35" s="12"/>
    </row>
    <row r="36" spans="1:14" s="1" customFormat="1" ht="19.5" customHeight="1">
      <c r="A36" s="14"/>
      <c r="B36" s="14"/>
      <c r="C36" s="14"/>
      <c r="D36" s="14"/>
      <c r="E36" s="14"/>
      <c r="F36" s="14"/>
      <c r="G36" s="14"/>
      <c r="J36" s="25"/>
      <c r="N36" s="12"/>
    </row>
    <row r="37" spans="1:14" s="1" customFormat="1" ht="19.5" customHeight="1">
      <c r="A37" s="14"/>
      <c r="B37" s="14"/>
      <c r="C37" s="14"/>
      <c r="D37" s="14"/>
      <c r="E37" s="14"/>
      <c r="F37" s="14"/>
      <c r="G37" s="14"/>
      <c r="J37" s="25"/>
      <c r="N37" s="12"/>
    </row>
    <row r="38" spans="1:15" s="1" customFormat="1" ht="19.5" customHeight="1">
      <c r="A38" s="21"/>
      <c r="B38" s="25"/>
      <c r="D38" s="12"/>
      <c r="G38" s="11"/>
      <c r="I38" s="13"/>
      <c r="J38" s="11"/>
      <c r="K38" s="8"/>
      <c r="O38" s="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4"/>
  <dimension ref="A1:P41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16" customWidth="1"/>
    <col min="5" max="5" width="4.10546875" style="16" customWidth="1"/>
    <col min="6" max="6" width="7.77734375" style="16" customWidth="1"/>
    <col min="7" max="8" width="3.3359375" style="16" customWidth="1"/>
    <col min="9" max="9" width="8.21484375" style="16" customWidth="1"/>
    <col min="10" max="10" width="6.88671875" style="24" customWidth="1"/>
    <col min="11" max="11" width="3.3359375" style="16" customWidth="1"/>
    <col min="12" max="12" width="7.77734375" style="16" customWidth="1"/>
    <col min="13" max="13" width="8.3359375" style="16" customWidth="1"/>
    <col min="14" max="14" width="3.10546875" style="16" customWidth="1"/>
    <col min="15" max="16384" width="8.88671875" style="16" customWidth="1"/>
  </cols>
  <sheetData>
    <row r="1" spans="1:16" ht="19.5" customHeight="1">
      <c r="A1" s="17" t="s">
        <v>539</v>
      </c>
      <c r="B1" s="17"/>
      <c r="C1" s="17"/>
      <c r="D1" s="17"/>
      <c r="E1" s="17"/>
      <c r="F1" s="17"/>
      <c r="G1" s="17"/>
      <c r="H1" s="17"/>
      <c r="I1" s="18"/>
      <c r="J1" s="26"/>
      <c r="K1" s="18"/>
      <c r="L1" s="18"/>
      <c r="M1" s="19"/>
      <c r="N1" s="20"/>
      <c r="O1" s="20"/>
      <c r="P1" s="20"/>
    </row>
    <row r="2" spans="8:13" ht="19.5" customHeight="1">
      <c r="H2" s="21"/>
      <c r="I2" s="20"/>
      <c r="J2" s="27"/>
      <c r="K2" s="20"/>
      <c r="L2" s="20"/>
      <c r="M2" s="20"/>
    </row>
    <row r="3" spans="1:13" ht="19.5" customHeight="1">
      <c r="A3" s="21" t="s">
        <v>540</v>
      </c>
      <c r="B3" s="21"/>
      <c r="C3" s="21"/>
      <c r="D3" s="21"/>
      <c r="E3" s="21"/>
      <c r="F3" s="21"/>
      <c r="G3" s="21"/>
      <c r="H3" s="21"/>
      <c r="I3" s="20"/>
      <c r="J3" s="27"/>
      <c r="K3" s="20"/>
      <c r="L3" s="20"/>
      <c r="M3" s="20"/>
    </row>
    <row r="4" spans="1:13" ht="13.5" customHeight="1">
      <c r="A4" s="21"/>
      <c r="B4" s="21"/>
      <c r="C4" s="21"/>
      <c r="D4" s="21"/>
      <c r="E4" s="21"/>
      <c r="F4" s="21"/>
      <c r="G4" s="21"/>
      <c r="H4" s="21"/>
      <c r="I4" s="20"/>
      <c r="J4" s="27"/>
      <c r="K4" s="20"/>
      <c r="L4" s="20"/>
      <c r="M4" s="20"/>
    </row>
    <row r="5" spans="1:14" ht="19.5" customHeight="1">
      <c r="A5" s="21"/>
      <c r="B5" s="21"/>
      <c r="C5" s="21"/>
      <c r="D5" s="21"/>
      <c r="E5" s="21"/>
      <c r="F5" s="20"/>
      <c r="I5" s="16" t="s">
        <v>541</v>
      </c>
      <c r="J5" s="20"/>
      <c r="K5" s="20"/>
      <c r="L5" s="20"/>
      <c r="M5" s="20"/>
      <c r="N5" s="2"/>
    </row>
    <row r="6" spans="1:14" ht="19.5" customHeight="1">
      <c r="A6" s="21"/>
      <c r="B6" s="21"/>
      <c r="C6" s="21"/>
      <c r="D6" s="21"/>
      <c r="E6" s="21"/>
      <c r="F6" s="20"/>
      <c r="I6" s="16" t="s">
        <v>638</v>
      </c>
      <c r="J6" s="20"/>
      <c r="K6" s="20"/>
      <c r="L6" s="20"/>
      <c r="M6" s="20"/>
      <c r="N6" s="2"/>
    </row>
    <row r="7" spans="1:13" ht="19.5" customHeight="1">
      <c r="A7" s="21"/>
      <c r="B7" s="21"/>
      <c r="C7" s="21"/>
      <c r="D7" s="21"/>
      <c r="E7" s="21"/>
      <c r="I7" s="16" t="s">
        <v>542</v>
      </c>
      <c r="J7" s="20"/>
      <c r="K7" s="20"/>
      <c r="L7" s="20"/>
      <c r="M7" s="20"/>
    </row>
    <row r="8" spans="7:10" ht="19.5" customHeight="1">
      <c r="G8" s="119"/>
      <c r="H8" s="119"/>
      <c r="I8" s="119" t="s">
        <v>548</v>
      </c>
      <c r="J8" s="16"/>
    </row>
    <row r="9" spans="9:10" ht="19.5" customHeight="1">
      <c r="I9" s="16" t="s">
        <v>543</v>
      </c>
      <c r="J9" s="16"/>
    </row>
    <row r="10" spans="9:10" ht="19.5" customHeight="1">
      <c r="I10" s="16" t="s">
        <v>545</v>
      </c>
      <c r="J10" s="16"/>
    </row>
    <row r="11" spans="7:10" ht="19.5" customHeight="1">
      <c r="G11" s="119"/>
      <c r="H11" s="119"/>
      <c r="I11" s="119" t="s">
        <v>547</v>
      </c>
      <c r="J11" s="16"/>
    </row>
    <row r="12" spans="7:10" ht="4.5" customHeight="1">
      <c r="G12" s="119"/>
      <c r="H12" s="119"/>
      <c r="I12" s="119"/>
      <c r="J12" s="16"/>
    </row>
    <row r="13" spans="6:10" ht="19.5" customHeight="1">
      <c r="F13" s="38"/>
      <c r="G13" s="38"/>
      <c r="H13" s="38"/>
      <c r="I13" s="38" t="s">
        <v>544</v>
      </c>
      <c r="J13" s="16"/>
    </row>
    <row r="14" spans="7:10" ht="19.5" customHeight="1">
      <c r="G14" s="38"/>
      <c r="H14" s="38"/>
      <c r="I14" s="38" t="s">
        <v>546</v>
      </c>
      <c r="J14" s="16"/>
    </row>
    <row r="15" spans="1:10" ht="6.75" customHeight="1">
      <c r="A15" s="14"/>
      <c r="H15" s="38"/>
      <c r="I15" s="38"/>
      <c r="J15" s="16"/>
    </row>
    <row r="16" spans="1:8" ht="19.5" customHeight="1">
      <c r="A16" s="1"/>
      <c r="B16" s="1" t="s">
        <v>536</v>
      </c>
      <c r="C16" s="1"/>
      <c r="D16" s="1"/>
      <c r="E16" s="1"/>
      <c r="F16" s="1"/>
      <c r="G16" s="1"/>
      <c r="H16" s="1"/>
    </row>
    <row r="17" spans="8:13" s="1" customFormat="1" ht="7.5" customHeight="1">
      <c r="H17" s="11"/>
      <c r="I17" s="11"/>
      <c r="J17" s="25"/>
      <c r="K17" s="25"/>
      <c r="L17" s="11"/>
      <c r="M17" s="13"/>
    </row>
    <row r="18" spans="1:13" s="1" customFormat="1" ht="19.5" customHeight="1">
      <c r="A18" s="11"/>
      <c r="B18" s="11" t="s">
        <v>133</v>
      </c>
      <c r="C18" s="11"/>
      <c r="D18" s="11"/>
      <c r="E18" s="11"/>
      <c r="G18" s="11" t="s">
        <v>215</v>
      </c>
      <c r="H18" s="11" t="s">
        <v>537</v>
      </c>
      <c r="I18" s="13">
        <v>52.5</v>
      </c>
      <c r="J18" s="11" t="s">
        <v>538</v>
      </c>
      <c r="K18" s="25"/>
      <c r="L18" s="11"/>
      <c r="M18" s="13"/>
    </row>
    <row r="19" spans="1:13" s="1" customFormat="1" ht="19.5" customHeight="1">
      <c r="A19" s="11"/>
      <c r="B19" s="11" t="s">
        <v>134</v>
      </c>
      <c r="C19" s="11"/>
      <c r="D19" s="11"/>
      <c r="E19" s="11"/>
      <c r="G19" s="11" t="s">
        <v>418</v>
      </c>
      <c r="H19" s="11" t="s">
        <v>118</v>
      </c>
      <c r="I19" s="13">
        <v>1000</v>
      </c>
      <c r="J19" s="11" t="s">
        <v>538</v>
      </c>
      <c r="K19" s="25"/>
      <c r="L19" s="11"/>
      <c r="M19" s="13"/>
    </row>
    <row r="20" spans="1:13" s="1" customFormat="1" ht="19.5" customHeight="1">
      <c r="A20" s="11"/>
      <c r="B20" s="1" t="s">
        <v>549</v>
      </c>
      <c r="C20" s="11"/>
      <c r="D20" s="11"/>
      <c r="E20" s="11"/>
      <c r="G20" s="11" t="s">
        <v>550</v>
      </c>
      <c r="H20" s="11" t="s">
        <v>537</v>
      </c>
      <c r="I20" s="13">
        <v>30</v>
      </c>
      <c r="J20" s="11" t="s">
        <v>555</v>
      </c>
      <c r="L20" s="11"/>
      <c r="M20" s="13"/>
    </row>
    <row r="21" spans="2:13" s="1" customFormat="1" ht="19.5" customHeight="1">
      <c r="B21" s="1" t="s">
        <v>551</v>
      </c>
      <c r="C21" s="14"/>
      <c r="G21" s="119" t="s">
        <v>554</v>
      </c>
      <c r="H21" s="1" t="s">
        <v>537</v>
      </c>
      <c r="I21" s="120">
        <v>880</v>
      </c>
      <c r="J21" s="1" t="s">
        <v>313</v>
      </c>
      <c r="L21" s="11"/>
      <c r="M21" s="13"/>
    </row>
    <row r="22" spans="2:11" s="1" customFormat="1" ht="19.5" customHeight="1">
      <c r="B22" s="1" t="s">
        <v>552</v>
      </c>
      <c r="G22" s="119" t="s">
        <v>553</v>
      </c>
      <c r="H22" s="1" t="s">
        <v>537</v>
      </c>
      <c r="I22" s="13">
        <v>2.4</v>
      </c>
      <c r="J22" s="1" t="s">
        <v>316</v>
      </c>
      <c r="K22" s="8"/>
    </row>
    <row r="23" spans="6:11" s="1" customFormat="1" ht="10.5" customHeight="1">
      <c r="F23" s="119"/>
      <c r="I23" s="7"/>
      <c r="K23" s="8"/>
    </row>
    <row r="24" spans="1:11" s="1" customFormat="1" ht="19.5" customHeight="1">
      <c r="A24" s="63"/>
      <c r="B24" s="64" t="s">
        <v>447</v>
      </c>
      <c r="C24" s="1" t="s">
        <v>537</v>
      </c>
      <c r="D24" s="121">
        <f>I20/((3.141592*(I18*0.001)^2/4)*3600)</f>
        <v>3.849553468254524</v>
      </c>
      <c r="E24" s="1" t="s">
        <v>66</v>
      </c>
      <c r="G24" s="63"/>
      <c r="H24" s="24"/>
      <c r="J24" s="7"/>
      <c r="K24" s="8"/>
    </row>
    <row r="25" spans="1:13" s="1" customFormat="1" ht="19.5" customHeight="1">
      <c r="A25" s="14"/>
      <c r="B25" s="64" t="s">
        <v>141</v>
      </c>
      <c r="C25" s="1" t="s">
        <v>537</v>
      </c>
      <c r="D25" s="122">
        <f>D24*I18*I21/I22</f>
        <v>74103.90426389959</v>
      </c>
      <c r="E25" s="14"/>
      <c r="F25" s="14"/>
      <c r="G25" s="14"/>
      <c r="J25" s="25"/>
      <c r="M25" s="12"/>
    </row>
    <row r="26" spans="1:13" s="1" customFormat="1" ht="19.5" customHeight="1">
      <c r="A26" s="14"/>
      <c r="B26" s="24" t="s">
        <v>556</v>
      </c>
      <c r="C26" s="1" t="s">
        <v>118</v>
      </c>
      <c r="D26" s="123">
        <f>0.25/I18</f>
        <v>0.004761904761904762</v>
      </c>
      <c r="E26" s="14"/>
      <c r="F26" s="14"/>
      <c r="G26" s="14"/>
      <c r="J26" s="25"/>
      <c r="M26" s="12"/>
    </row>
    <row r="27" spans="1:13" s="1" customFormat="1" ht="19.5" customHeight="1">
      <c r="A27" s="14"/>
      <c r="B27" s="25" t="s">
        <v>557</v>
      </c>
      <c r="C27" s="1" t="s">
        <v>118</v>
      </c>
      <c r="D27" s="123">
        <f>마찰계수</f>
        <v>0.031238565131593767</v>
      </c>
      <c r="E27" s="14"/>
      <c r="F27" s="14"/>
      <c r="G27" s="14"/>
      <c r="J27" s="25"/>
      <c r="M27" s="12"/>
    </row>
    <row r="28" spans="1:13" s="1" customFormat="1" ht="19.5" customHeight="1">
      <c r="A28" s="14"/>
      <c r="B28" s="24" t="s">
        <v>558</v>
      </c>
      <c r="C28" s="1" t="s">
        <v>118</v>
      </c>
      <c r="D28" s="124">
        <f>D27*(I19/I18)*I21*D24^2*10^-4/(2*9.8)</f>
        <v>0.039589415242573804</v>
      </c>
      <c r="E28" s="1" t="s">
        <v>65</v>
      </c>
      <c r="F28" s="14"/>
      <c r="G28" s="14"/>
      <c r="J28" s="25"/>
      <c r="M28" s="12"/>
    </row>
    <row r="29" spans="1:13" s="1" customFormat="1" ht="19.5" customHeight="1">
      <c r="A29" s="14"/>
      <c r="B29" s="24"/>
      <c r="C29" s="14"/>
      <c r="D29" s="14"/>
      <c r="E29" s="14"/>
      <c r="F29" s="14"/>
      <c r="G29" s="14"/>
      <c r="J29" s="25"/>
      <c r="M29" s="12"/>
    </row>
    <row r="30" spans="1:13" s="1" customFormat="1" ht="19.5" customHeight="1">
      <c r="A30" s="14"/>
      <c r="B30" s="1" t="s">
        <v>621</v>
      </c>
      <c r="D30" s="14"/>
      <c r="E30" s="14"/>
      <c r="F30" s="14"/>
      <c r="G30" s="14"/>
      <c r="J30" s="25"/>
      <c r="M30" s="12"/>
    </row>
    <row r="31" spans="1:13" s="1" customFormat="1" ht="19.5" customHeight="1">
      <c r="A31" s="14"/>
      <c r="B31" s="44" t="s">
        <v>97</v>
      </c>
      <c r="C31" s="45"/>
      <c r="D31" s="45"/>
      <c r="E31" s="45"/>
      <c r="F31" s="45"/>
      <c r="G31" s="45"/>
      <c r="H31" s="47"/>
      <c r="I31" s="45" t="s">
        <v>98</v>
      </c>
      <c r="J31" s="45"/>
      <c r="K31" s="45"/>
      <c r="L31" s="45"/>
      <c r="M31" s="139"/>
    </row>
    <row r="32" spans="1:13" s="1" customFormat="1" ht="19.5" customHeight="1">
      <c r="A32" s="14"/>
      <c r="B32" s="145">
        <v>1</v>
      </c>
      <c r="C32" s="146"/>
      <c r="D32" s="41" t="s">
        <v>624</v>
      </c>
      <c r="E32" s="41" t="s">
        <v>610</v>
      </c>
      <c r="F32" s="131">
        <f>B32*10^3</f>
        <v>1000</v>
      </c>
      <c r="G32" s="4" t="s">
        <v>611</v>
      </c>
      <c r="H32" s="4"/>
      <c r="I32" s="129">
        <v>1</v>
      </c>
      <c r="J32" s="41" t="s">
        <v>596</v>
      </c>
      <c r="K32" s="4" t="s">
        <v>118</v>
      </c>
      <c r="L32" s="131">
        <f>I32*1000</f>
        <v>1000</v>
      </c>
      <c r="M32" s="6" t="s">
        <v>597</v>
      </c>
    </row>
    <row r="33" spans="1:13" s="1" customFormat="1" ht="19.5" customHeight="1">
      <c r="A33" s="14"/>
      <c r="B33" s="145">
        <v>1</v>
      </c>
      <c r="C33" s="146"/>
      <c r="D33" s="41" t="s">
        <v>626</v>
      </c>
      <c r="E33" s="4" t="s">
        <v>610</v>
      </c>
      <c r="F33" s="131">
        <f>B33*10^-3</f>
        <v>0.001</v>
      </c>
      <c r="G33" s="4" t="s">
        <v>611</v>
      </c>
      <c r="H33" s="4"/>
      <c r="I33" s="129">
        <v>1</v>
      </c>
      <c r="J33" s="41" t="s">
        <v>600</v>
      </c>
      <c r="K33" s="4" t="s">
        <v>118</v>
      </c>
      <c r="L33" s="131">
        <f>I33*1000</f>
        <v>1000</v>
      </c>
      <c r="M33" s="135" t="s">
        <v>597</v>
      </c>
    </row>
    <row r="34" spans="1:13" s="1" customFormat="1" ht="19.5" customHeight="1">
      <c r="A34" s="14"/>
      <c r="B34" s="145">
        <v>1</v>
      </c>
      <c r="C34" s="146"/>
      <c r="D34" s="41" t="s">
        <v>628</v>
      </c>
      <c r="E34" s="4" t="s">
        <v>610</v>
      </c>
      <c r="F34" s="133">
        <f>B34*16.0194</f>
        <v>16.0194</v>
      </c>
      <c r="G34" s="4" t="s">
        <v>611</v>
      </c>
      <c r="H34" s="4"/>
      <c r="I34" s="129">
        <v>1</v>
      </c>
      <c r="J34" s="4" t="s">
        <v>602</v>
      </c>
      <c r="K34" s="4" t="s">
        <v>118</v>
      </c>
      <c r="L34" s="41">
        <f>I34*100</f>
        <v>100</v>
      </c>
      <c r="M34" s="135" t="s">
        <v>597</v>
      </c>
    </row>
    <row r="35" spans="1:13" s="1" customFormat="1" ht="19.5" customHeight="1">
      <c r="A35" s="14"/>
      <c r="B35" s="145">
        <v>1</v>
      </c>
      <c r="C35" s="146"/>
      <c r="D35" s="41" t="s">
        <v>630</v>
      </c>
      <c r="E35" s="4" t="s">
        <v>610</v>
      </c>
      <c r="F35" s="131">
        <f>B35*27680</f>
        <v>27680</v>
      </c>
      <c r="G35" s="4" t="s">
        <v>611</v>
      </c>
      <c r="H35" s="4"/>
      <c r="I35" s="129">
        <v>1</v>
      </c>
      <c r="J35" s="41" t="s">
        <v>604</v>
      </c>
      <c r="K35" s="4" t="s">
        <v>118</v>
      </c>
      <c r="L35" s="41">
        <f>I35*9.80665*10^3</f>
        <v>9806.65</v>
      </c>
      <c r="M35" s="135" t="s">
        <v>597</v>
      </c>
    </row>
    <row r="36" spans="1:13" s="1" customFormat="1" ht="4.5" customHeight="1">
      <c r="A36" s="14"/>
      <c r="B36" s="137"/>
      <c r="C36" s="4"/>
      <c r="D36" s="129"/>
      <c r="E36" s="41"/>
      <c r="F36" s="4"/>
      <c r="G36" s="4"/>
      <c r="H36" s="131"/>
      <c r="I36" s="4"/>
      <c r="J36" s="129"/>
      <c r="K36" s="41"/>
      <c r="L36" s="41"/>
      <c r="M36" s="6"/>
    </row>
    <row r="37" spans="1:13" s="1" customFormat="1" ht="19.5" customHeight="1">
      <c r="A37" s="14"/>
      <c r="B37" s="49" t="s">
        <v>99</v>
      </c>
      <c r="C37" s="4"/>
      <c r="D37" s="129"/>
      <c r="E37" s="41"/>
      <c r="F37" s="4"/>
      <c r="G37" s="4"/>
      <c r="H37" s="131"/>
      <c r="I37" s="4" t="s">
        <v>100</v>
      </c>
      <c r="J37" s="129"/>
      <c r="K37" s="41"/>
      <c r="L37" s="41"/>
      <c r="M37" s="6"/>
    </row>
    <row r="38" spans="1:13" s="1" customFormat="1" ht="19.5" customHeight="1">
      <c r="A38" s="14"/>
      <c r="B38" s="143">
        <v>1</v>
      </c>
      <c r="C38" s="144"/>
      <c r="D38" s="2" t="s">
        <v>343</v>
      </c>
      <c r="E38" s="41"/>
      <c r="F38" s="40">
        <f>B38*0.06</f>
        <v>0.06</v>
      </c>
      <c r="G38" s="2" t="s">
        <v>365</v>
      </c>
      <c r="H38" s="131"/>
      <c r="I38" s="39">
        <v>1</v>
      </c>
      <c r="J38" s="8" t="s">
        <v>367</v>
      </c>
      <c r="K38" s="41"/>
      <c r="L38" s="57">
        <f>I38*(1/3600)</f>
        <v>0.0002777777777777778</v>
      </c>
      <c r="M38" s="6" t="s">
        <v>362</v>
      </c>
    </row>
    <row r="39" spans="1:13" s="1" customFormat="1" ht="19.5" customHeight="1">
      <c r="A39" s="14"/>
      <c r="B39" s="143">
        <v>1</v>
      </c>
      <c r="C39" s="144"/>
      <c r="D39" s="2" t="s">
        <v>122</v>
      </c>
      <c r="E39" s="41"/>
      <c r="F39" s="40">
        <f>B39*0.02832</f>
        <v>0.02832</v>
      </c>
      <c r="G39" s="2" t="s">
        <v>365</v>
      </c>
      <c r="H39" s="131"/>
      <c r="I39" s="39">
        <v>1</v>
      </c>
      <c r="J39" s="8" t="s">
        <v>370</v>
      </c>
      <c r="K39" s="41"/>
      <c r="L39" s="40">
        <f>I39*0.0254</f>
        <v>0.0254</v>
      </c>
      <c r="M39" s="6"/>
    </row>
    <row r="40" spans="1:13" s="1" customFormat="1" ht="19.5" customHeight="1">
      <c r="A40" s="14"/>
      <c r="B40" s="143">
        <v>1</v>
      </c>
      <c r="C40" s="144"/>
      <c r="D40" s="2" t="s">
        <v>387</v>
      </c>
      <c r="E40" s="41"/>
      <c r="F40" s="40">
        <f>B40*101.935</f>
        <v>101.935</v>
      </c>
      <c r="G40" s="2" t="s">
        <v>365</v>
      </c>
      <c r="H40" s="131"/>
      <c r="I40" s="39">
        <v>1</v>
      </c>
      <c r="J40" s="8" t="s">
        <v>372</v>
      </c>
      <c r="K40" s="41"/>
      <c r="L40" s="40">
        <f>I40*0.3048</f>
        <v>0.3048</v>
      </c>
      <c r="M40" s="6"/>
    </row>
    <row r="41" spans="1:13" s="1" customFormat="1" ht="3" customHeight="1">
      <c r="A41" s="14"/>
      <c r="B41" s="138"/>
      <c r="C41" s="3"/>
      <c r="D41" s="52"/>
      <c r="E41" s="3"/>
      <c r="F41" s="3"/>
      <c r="G41" s="3"/>
      <c r="H41" s="53"/>
      <c r="I41" s="3"/>
      <c r="J41" s="3"/>
      <c r="K41" s="3"/>
      <c r="L41" s="3"/>
      <c r="M41" s="54"/>
    </row>
  </sheetData>
  <sheetProtection/>
  <mergeCells count="7">
    <mergeCell ref="B38:C38"/>
    <mergeCell ref="B39:C39"/>
    <mergeCell ref="B40:C40"/>
    <mergeCell ref="B32:C32"/>
    <mergeCell ref="B33:C33"/>
    <mergeCell ref="B34:C34"/>
    <mergeCell ref="B35:C35"/>
  </mergeCells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A1:R40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Q14" sqref="Q14"/>
    </sheetView>
  </sheetViews>
  <sheetFormatPr defaultColWidth="8.88671875" defaultRowHeight="19.5" customHeight="1"/>
  <cols>
    <col min="1" max="1" width="3.3359375" style="16" customWidth="1"/>
    <col min="2" max="2" width="5.4453125" style="16" customWidth="1"/>
    <col min="3" max="3" width="3.21484375" style="16" customWidth="1"/>
    <col min="4" max="4" width="8.21484375" style="16" customWidth="1"/>
    <col min="5" max="5" width="4.10546875" style="16" customWidth="1"/>
    <col min="6" max="6" width="7.77734375" style="16" customWidth="1"/>
    <col min="7" max="8" width="3.3359375" style="16" customWidth="1"/>
    <col min="9" max="9" width="8.21484375" style="16" customWidth="1"/>
    <col min="10" max="10" width="6.88671875" style="24" customWidth="1"/>
    <col min="11" max="11" width="3.3359375" style="16" customWidth="1"/>
    <col min="12" max="12" width="7.77734375" style="16" customWidth="1"/>
    <col min="13" max="13" width="8.3359375" style="16" customWidth="1"/>
    <col min="14" max="14" width="3.10546875" style="16" customWidth="1"/>
    <col min="15" max="15" width="4.99609375" style="16" customWidth="1"/>
    <col min="16" max="16" width="5.6640625" style="16" customWidth="1"/>
    <col min="17" max="16384" width="8.88671875" style="16" customWidth="1"/>
  </cols>
  <sheetData>
    <row r="1" spans="1:18" ht="19.5" customHeight="1">
      <c r="A1" s="17" t="s">
        <v>68</v>
      </c>
      <c r="B1" s="17"/>
      <c r="C1" s="17"/>
      <c r="D1" s="17"/>
      <c r="E1" s="17"/>
      <c r="F1" s="17"/>
      <c r="G1" s="17"/>
      <c r="H1" s="17"/>
      <c r="I1" s="18"/>
      <c r="J1" s="26"/>
      <c r="K1" s="18"/>
      <c r="L1" s="18"/>
      <c r="M1" s="18"/>
      <c r="N1" s="19"/>
      <c r="O1" s="20"/>
      <c r="P1" s="20"/>
      <c r="Q1" s="20"/>
      <c r="R1" s="20"/>
    </row>
    <row r="2" spans="8:15" ht="19.5" customHeight="1">
      <c r="H2" s="21"/>
      <c r="I2" s="20"/>
      <c r="J2" s="27"/>
      <c r="K2" s="20"/>
      <c r="L2" s="20"/>
      <c r="M2" s="20"/>
      <c r="N2" s="20"/>
      <c r="O2" s="20"/>
    </row>
    <row r="3" spans="1:15" ht="19.5" customHeight="1">
      <c r="A3" s="21" t="s">
        <v>116</v>
      </c>
      <c r="B3" s="21"/>
      <c r="C3" s="21"/>
      <c r="D3" s="21"/>
      <c r="E3" s="21"/>
      <c r="F3" s="21"/>
      <c r="G3" s="21"/>
      <c r="H3" s="21"/>
      <c r="I3" s="20"/>
      <c r="J3" s="27"/>
      <c r="K3" s="20"/>
      <c r="L3" s="20"/>
      <c r="M3" s="20"/>
      <c r="N3" s="20"/>
      <c r="O3" s="20"/>
    </row>
    <row r="4" spans="1:15" ht="13.5" customHeight="1">
      <c r="A4" s="21"/>
      <c r="B4" s="21"/>
      <c r="C4" s="21"/>
      <c r="D4" s="21"/>
      <c r="E4" s="21"/>
      <c r="F4" s="21"/>
      <c r="G4" s="21"/>
      <c r="H4" s="21"/>
      <c r="I4" s="20"/>
      <c r="J4" s="27"/>
      <c r="K4" s="20"/>
      <c r="L4" s="20"/>
      <c r="M4" s="20"/>
      <c r="N4" s="20"/>
      <c r="O4" s="20"/>
    </row>
    <row r="5" spans="1:16" ht="19.5" customHeight="1">
      <c r="A5" s="21"/>
      <c r="B5" s="21"/>
      <c r="C5" s="21"/>
      <c r="D5" s="21"/>
      <c r="E5" s="21"/>
      <c r="F5" s="20"/>
      <c r="H5" s="21"/>
      <c r="I5" s="16" t="s">
        <v>69</v>
      </c>
      <c r="J5" s="27"/>
      <c r="K5" s="20"/>
      <c r="L5" s="20"/>
      <c r="M5" s="20"/>
      <c r="N5" s="20"/>
      <c r="O5" s="20"/>
      <c r="P5" s="2"/>
    </row>
    <row r="6" spans="1:16" ht="19.5" customHeight="1">
      <c r="A6" s="21"/>
      <c r="B6" s="21"/>
      <c r="C6" s="21"/>
      <c r="D6" s="21"/>
      <c r="E6" s="21"/>
      <c r="F6" s="20"/>
      <c r="H6" s="21"/>
      <c r="I6" s="16" t="s">
        <v>638</v>
      </c>
      <c r="J6" s="27"/>
      <c r="K6" s="20"/>
      <c r="L6" s="20"/>
      <c r="M6" s="20"/>
      <c r="N6" s="20"/>
      <c r="O6" s="20"/>
      <c r="P6" s="2"/>
    </row>
    <row r="7" spans="1:15" ht="19.5" customHeight="1">
      <c r="A7" s="21"/>
      <c r="B7" s="21"/>
      <c r="C7" s="21"/>
      <c r="D7" s="21"/>
      <c r="E7" s="21"/>
      <c r="H7" s="21"/>
      <c r="I7" s="16" t="s">
        <v>70</v>
      </c>
      <c r="J7" s="27"/>
      <c r="K7" s="20"/>
      <c r="L7" s="20"/>
      <c r="M7" s="20"/>
      <c r="N7" s="20"/>
      <c r="O7" s="20"/>
    </row>
    <row r="8" spans="1:15" ht="19.5" customHeight="1">
      <c r="A8" s="21"/>
      <c r="B8" s="21"/>
      <c r="C8" s="21"/>
      <c r="D8" s="21"/>
      <c r="E8" s="21"/>
      <c r="H8" s="21"/>
      <c r="I8" s="16" t="s">
        <v>95</v>
      </c>
      <c r="J8" s="27"/>
      <c r="K8" s="20"/>
      <c r="L8" s="20"/>
      <c r="M8" s="20"/>
      <c r="N8" s="20"/>
      <c r="O8" s="20"/>
    </row>
    <row r="9" spans="7:9" ht="19.5" customHeight="1">
      <c r="G9" s="119"/>
      <c r="H9" s="22"/>
      <c r="I9" s="119" t="s">
        <v>71</v>
      </c>
    </row>
    <row r="10" spans="8:9" ht="19.5" customHeight="1">
      <c r="H10" s="22"/>
      <c r="I10" s="16" t="s">
        <v>72</v>
      </c>
    </row>
    <row r="11" spans="8:9" ht="19.5" customHeight="1">
      <c r="H11" s="22"/>
      <c r="I11" s="16" t="s">
        <v>73</v>
      </c>
    </row>
    <row r="12" spans="7:9" ht="19.5" customHeight="1">
      <c r="G12" s="119"/>
      <c r="H12" s="22"/>
      <c r="I12" s="119" t="s">
        <v>74</v>
      </c>
    </row>
    <row r="13" spans="7:9" ht="4.5" customHeight="1">
      <c r="G13" s="119"/>
      <c r="H13" s="22"/>
      <c r="I13" s="119"/>
    </row>
    <row r="14" spans="6:9" ht="19.5" customHeight="1">
      <c r="F14" s="38"/>
      <c r="G14" s="38"/>
      <c r="H14" s="22"/>
      <c r="I14" s="38" t="s">
        <v>96</v>
      </c>
    </row>
    <row r="15" spans="6:9" ht="19.5" customHeight="1">
      <c r="F15" s="38"/>
      <c r="G15" s="38"/>
      <c r="H15" s="22"/>
      <c r="I15" s="38" t="s">
        <v>94</v>
      </c>
    </row>
    <row r="16" spans="7:16" ht="19.5" customHeight="1">
      <c r="G16" s="38"/>
      <c r="H16" s="1"/>
      <c r="I16" s="38" t="s">
        <v>75</v>
      </c>
      <c r="O16" s="2"/>
      <c r="P16" s="2"/>
    </row>
    <row r="17" spans="1:8" ht="19.5" customHeight="1">
      <c r="A17" s="14"/>
      <c r="H17" s="38"/>
    </row>
    <row r="18" spans="1:8" ht="19.5" customHeight="1">
      <c r="A18" s="1"/>
      <c r="B18" s="1" t="s">
        <v>276</v>
      </c>
      <c r="C18" s="1"/>
      <c r="D18" s="1"/>
      <c r="E18" s="1"/>
      <c r="F18" s="1"/>
      <c r="G18" s="1"/>
      <c r="H18" s="1"/>
    </row>
    <row r="19" spans="8:14" s="1" customFormat="1" ht="7.5" customHeight="1">
      <c r="H19" s="11"/>
      <c r="I19" s="11"/>
      <c r="J19" s="25"/>
      <c r="K19" s="25"/>
      <c r="L19" s="25"/>
      <c r="M19" s="11"/>
      <c r="N19" s="13"/>
    </row>
    <row r="20" spans="1:14" s="1" customFormat="1" ht="19.5" customHeight="1">
      <c r="A20" s="11"/>
      <c r="B20" s="11" t="s">
        <v>91</v>
      </c>
      <c r="C20" s="11"/>
      <c r="D20" s="11"/>
      <c r="E20" s="11"/>
      <c r="F20" s="11"/>
      <c r="G20" s="11" t="s">
        <v>484</v>
      </c>
      <c r="H20" s="11" t="s">
        <v>277</v>
      </c>
      <c r="I20" s="13">
        <v>100</v>
      </c>
      <c r="J20" s="11" t="s">
        <v>453</v>
      </c>
      <c r="K20" s="25"/>
      <c r="L20" s="11"/>
      <c r="M20" s="11"/>
      <c r="N20" s="13"/>
    </row>
    <row r="21" spans="1:14" s="1" customFormat="1" ht="19.5" customHeight="1">
      <c r="A21" s="11"/>
      <c r="B21" s="11" t="s">
        <v>93</v>
      </c>
      <c r="C21" s="11"/>
      <c r="D21" s="11"/>
      <c r="E21" s="11"/>
      <c r="F21" s="11"/>
      <c r="G21" s="11" t="s">
        <v>167</v>
      </c>
      <c r="H21" s="11" t="s">
        <v>277</v>
      </c>
      <c r="I21" s="13">
        <v>750</v>
      </c>
      <c r="J21" s="11" t="s">
        <v>453</v>
      </c>
      <c r="K21" s="25"/>
      <c r="L21" s="11"/>
      <c r="M21" s="11"/>
      <c r="N21" s="13"/>
    </row>
    <row r="22" spans="1:14" s="1" customFormat="1" ht="19.5" customHeight="1">
      <c r="A22" s="11"/>
      <c r="B22" s="11" t="s">
        <v>92</v>
      </c>
      <c r="C22" s="11"/>
      <c r="D22" s="11"/>
      <c r="E22" s="11"/>
      <c r="F22" s="11"/>
      <c r="G22" s="11" t="s">
        <v>485</v>
      </c>
      <c r="H22" s="11" t="s">
        <v>277</v>
      </c>
      <c r="I22" s="13">
        <v>1200</v>
      </c>
      <c r="J22" s="11" t="s">
        <v>453</v>
      </c>
      <c r="K22" s="25"/>
      <c r="L22" s="11"/>
      <c r="M22" s="11"/>
      <c r="N22" s="13"/>
    </row>
    <row r="23" spans="1:14" s="1" customFormat="1" ht="19.5" customHeight="1">
      <c r="A23" s="11"/>
      <c r="B23" s="1" t="s">
        <v>76</v>
      </c>
      <c r="C23" s="11"/>
      <c r="D23" s="11"/>
      <c r="E23" s="11"/>
      <c r="F23" s="11"/>
      <c r="G23" s="11" t="s">
        <v>77</v>
      </c>
      <c r="H23" s="11" t="s">
        <v>277</v>
      </c>
      <c r="I23" s="13">
        <v>100</v>
      </c>
      <c r="J23" s="11" t="s">
        <v>78</v>
      </c>
      <c r="L23" s="11"/>
      <c r="M23" s="11"/>
      <c r="N23" s="13"/>
    </row>
    <row r="24" spans="2:14" s="1" customFormat="1" ht="19.5" customHeight="1">
      <c r="B24" s="1" t="s">
        <v>79</v>
      </c>
      <c r="C24" s="14"/>
      <c r="G24" s="119" t="s">
        <v>80</v>
      </c>
      <c r="H24" s="1" t="s">
        <v>277</v>
      </c>
      <c r="I24" s="120">
        <v>880</v>
      </c>
      <c r="J24" s="1" t="s">
        <v>81</v>
      </c>
      <c r="L24" s="11"/>
      <c r="M24" s="11"/>
      <c r="N24" s="13"/>
    </row>
    <row r="25" spans="2:11" s="1" customFormat="1" ht="19.5" customHeight="1">
      <c r="B25" s="1" t="s">
        <v>82</v>
      </c>
      <c r="G25" s="119" t="s">
        <v>83</v>
      </c>
      <c r="H25" s="1" t="s">
        <v>277</v>
      </c>
      <c r="I25" s="13">
        <v>2.4</v>
      </c>
      <c r="J25" s="1" t="s">
        <v>84</v>
      </c>
      <c r="K25" s="8"/>
    </row>
    <row r="26" spans="7:11" s="1" customFormat="1" ht="14.25" customHeight="1">
      <c r="G26" s="119"/>
      <c r="J26" s="7"/>
      <c r="K26" s="8"/>
    </row>
    <row r="27" spans="1:11" s="1" customFormat="1" ht="19.5" customHeight="1">
      <c r="A27" s="63"/>
      <c r="B27" s="64" t="s">
        <v>85</v>
      </c>
      <c r="C27" s="1" t="s">
        <v>277</v>
      </c>
      <c r="D27" s="121">
        <f>I23/((3.141592*(I20*0.001)^2/4)*3600)</f>
        <v>3.5367772489588427</v>
      </c>
      <c r="E27" s="1" t="s">
        <v>362</v>
      </c>
      <c r="G27" s="63"/>
      <c r="H27" s="24"/>
      <c r="J27" s="7"/>
      <c r="K27" s="8"/>
    </row>
    <row r="28" spans="1:14" s="1" customFormat="1" ht="19.5" customHeight="1">
      <c r="A28" s="14"/>
      <c r="B28" s="64" t="s">
        <v>86</v>
      </c>
      <c r="C28" s="1" t="s">
        <v>277</v>
      </c>
      <c r="D28" s="122">
        <f>D27*I20*I24/I25</f>
        <v>129681.83246182423</v>
      </c>
      <c r="E28" s="14"/>
      <c r="F28" s="14"/>
      <c r="G28" s="14"/>
      <c r="J28" s="25"/>
      <c r="N28" s="12"/>
    </row>
    <row r="29" spans="1:14" s="1" customFormat="1" ht="19.5" customHeight="1">
      <c r="A29" s="14"/>
      <c r="B29" s="24" t="s">
        <v>87</v>
      </c>
      <c r="C29" s="1" t="s">
        <v>277</v>
      </c>
      <c r="D29" s="123">
        <f>0.25/I20</f>
        <v>0.0025</v>
      </c>
      <c r="E29" s="14"/>
      <c r="F29" s="14"/>
      <c r="G29" s="14"/>
      <c r="J29" s="25"/>
      <c r="N29" s="12"/>
    </row>
    <row r="30" spans="1:14" s="1" customFormat="1" ht="19.5" customHeight="1">
      <c r="A30" s="14"/>
      <c r="B30" s="25" t="s">
        <v>88</v>
      </c>
      <c r="C30" s="1" t="s">
        <v>277</v>
      </c>
      <c r="D30" s="123">
        <f>마찰계수1</f>
        <v>0.026284806714651773</v>
      </c>
      <c r="E30" s="14"/>
      <c r="F30" s="14"/>
      <c r="G30" s="14"/>
      <c r="J30" s="25"/>
      <c r="N30" s="12"/>
    </row>
    <row r="31" spans="1:14" s="1" customFormat="1" ht="4.5" customHeight="1">
      <c r="A31" s="14"/>
      <c r="B31" s="25"/>
      <c r="D31" s="123"/>
      <c r="E31" s="14"/>
      <c r="F31" s="14"/>
      <c r="G31" s="14"/>
      <c r="J31" s="25"/>
      <c r="N31" s="12"/>
    </row>
    <row r="32" spans="1:14" s="1" customFormat="1" ht="19.5" customHeight="1">
      <c r="A32" s="14"/>
      <c r="B32" s="24" t="s">
        <v>89</v>
      </c>
      <c r="C32" s="1" t="s">
        <v>277</v>
      </c>
      <c r="D32" s="124">
        <f>(D30*((I22-(I21*0.95))/I20)*I24*D27^2*10^-4/(2*9.8))+(I24*1.5*D27^2*10^-4/(2*9.8))</f>
        <v>0.09143939529149431</v>
      </c>
      <c r="E32" s="1" t="s">
        <v>90</v>
      </c>
      <c r="F32" s="14"/>
      <c r="G32" s="14"/>
      <c r="J32" s="25"/>
      <c r="N32" s="12"/>
    </row>
    <row r="33" spans="1:14" s="1" customFormat="1" ht="19.5" customHeight="1">
      <c r="A33" s="14"/>
      <c r="B33" s="24"/>
      <c r="C33" s="14"/>
      <c r="D33" s="14"/>
      <c r="E33" s="14"/>
      <c r="F33" s="14"/>
      <c r="G33" s="14"/>
      <c r="J33" s="25"/>
      <c r="N33" s="12"/>
    </row>
    <row r="34" spans="1:13" s="1" customFormat="1" ht="19.5" customHeight="1">
      <c r="A34" s="14"/>
      <c r="B34" s="1" t="s">
        <v>621</v>
      </c>
      <c r="D34" s="14"/>
      <c r="E34" s="14"/>
      <c r="F34" s="14"/>
      <c r="G34" s="14"/>
      <c r="J34" s="25"/>
      <c r="M34" s="12"/>
    </row>
    <row r="35" spans="1:13" s="1" customFormat="1" ht="19.5" customHeight="1">
      <c r="A35" s="14"/>
      <c r="B35" s="44" t="s">
        <v>97</v>
      </c>
      <c r="C35" s="45"/>
      <c r="D35" s="45"/>
      <c r="E35" s="45"/>
      <c r="F35" s="45"/>
      <c r="G35" s="45"/>
      <c r="H35" s="47"/>
      <c r="I35" s="45" t="s">
        <v>98</v>
      </c>
      <c r="J35" s="45"/>
      <c r="K35" s="45"/>
      <c r="L35" s="45"/>
      <c r="M35" s="139"/>
    </row>
    <row r="36" spans="1:13" s="1" customFormat="1" ht="19.5" customHeight="1">
      <c r="A36" s="14"/>
      <c r="B36" s="145">
        <v>1</v>
      </c>
      <c r="C36" s="146"/>
      <c r="D36" s="41" t="s">
        <v>624</v>
      </c>
      <c r="E36" s="41" t="s">
        <v>610</v>
      </c>
      <c r="F36" s="131">
        <f>B36*10^3</f>
        <v>1000</v>
      </c>
      <c r="G36" s="4" t="s">
        <v>611</v>
      </c>
      <c r="H36" s="4"/>
      <c r="I36" s="129">
        <v>1</v>
      </c>
      <c r="J36" s="41" t="s">
        <v>596</v>
      </c>
      <c r="K36" s="4" t="s">
        <v>118</v>
      </c>
      <c r="L36" s="131">
        <f>I36*1000</f>
        <v>1000</v>
      </c>
      <c r="M36" s="6" t="s">
        <v>597</v>
      </c>
    </row>
    <row r="37" spans="1:13" s="1" customFormat="1" ht="19.5" customHeight="1">
      <c r="A37" s="14"/>
      <c r="B37" s="145">
        <v>1</v>
      </c>
      <c r="C37" s="146"/>
      <c r="D37" s="41" t="s">
        <v>626</v>
      </c>
      <c r="E37" s="4" t="s">
        <v>610</v>
      </c>
      <c r="F37" s="131">
        <f>B37*10^-3</f>
        <v>0.001</v>
      </c>
      <c r="G37" s="4" t="s">
        <v>611</v>
      </c>
      <c r="H37" s="4"/>
      <c r="I37" s="129">
        <v>1</v>
      </c>
      <c r="J37" s="41" t="s">
        <v>600</v>
      </c>
      <c r="K37" s="4" t="s">
        <v>118</v>
      </c>
      <c r="L37" s="131">
        <f>I37*1000</f>
        <v>1000</v>
      </c>
      <c r="M37" s="135" t="s">
        <v>597</v>
      </c>
    </row>
    <row r="38" spans="1:13" s="1" customFormat="1" ht="19.5" customHeight="1">
      <c r="A38" s="14"/>
      <c r="B38" s="145">
        <v>1</v>
      </c>
      <c r="C38" s="146"/>
      <c r="D38" s="41" t="s">
        <v>628</v>
      </c>
      <c r="E38" s="4" t="s">
        <v>610</v>
      </c>
      <c r="F38" s="133">
        <f>B38*16.0194</f>
        <v>16.0194</v>
      </c>
      <c r="G38" s="4" t="s">
        <v>611</v>
      </c>
      <c r="H38" s="4"/>
      <c r="I38" s="129">
        <v>1</v>
      </c>
      <c r="J38" s="4" t="s">
        <v>602</v>
      </c>
      <c r="K38" s="4" t="s">
        <v>118</v>
      </c>
      <c r="L38" s="41">
        <f>I38*100</f>
        <v>100</v>
      </c>
      <c r="M38" s="135" t="s">
        <v>597</v>
      </c>
    </row>
    <row r="39" spans="1:13" s="1" customFormat="1" ht="19.5" customHeight="1">
      <c r="A39" s="14"/>
      <c r="B39" s="145">
        <v>1</v>
      </c>
      <c r="C39" s="146"/>
      <c r="D39" s="41" t="s">
        <v>630</v>
      </c>
      <c r="E39" s="4" t="s">
        <v>610</v>
      </c>
      <c r="F39" s="131">
        <f>B39*27680</f>
        <v>27680</v>
      </c>
      <c r="G39" s="4" t="s">
        <v>611</v>
      </c>
      <c r="H39" s="4"/>
      <c r="I39" s="129">
        <v>1</v>
      </c>
      <c r="J39" s="41" t="s">
        <v>604</v>
      </c>
      <c r="K39" s="4" t="s">
        <v>118</v>
      </c>
      <c r="L39" s="41">
        <f>I39*9.80665*10^3</f>
        <v>9806.65</v>
      </c>
      <c r="M39" s="135" t="s">
        <v>597</v>
      </c>
    </row>
    <row r="40" spans="1:14" s="1" customFormat="1" ht="4.5" customHeight="1">
      <c r="A40" s="14"/>
      <c r="B40" s="138"/>
      <c r="C40" s="140"/>
      <c r="D40" s="140"/>
      <c r="E40" s="140"/>
      <c r="F40" s="140"/>
      <c r="G40" s="140"/>
      <c r="H40" s="3"/>
      <c r="I40" s="3"/>
      <c r="J40" s="52"/>
      <c r="K40" s="3"/>
      <c r="L40" s="3"/>
      <c r="M40" s="54"/>
      <c r="N40" s="12"/>
    </row>
  </sheetData>
  <sheetProtection/>
  <mergeCells count="4">
    <mergeCell ref="B36:C36"/>
    <mergeCell ref="B37:C37"/>
    <mergeCell ref="B38:C38"/>
    <mergeCell ref="B39:C39"/>
  </mergeCells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"/>
  <dimension ref="B5:H23"/>
  <sheetViews>
    <sheetView showGridLines="0" showRowColHeaders="0" zoomScalePageLayoutView="0" workbookViewId="0" topLeftCell="A1">
      <selection activeCell="A1" sqref="A1"/>
    </sheetView>
  </sheetViews>
  <sheetFormatPr defaultColWidth="7.99609375" defaultRowHeight="19.5" customHeight="1"/>
  <cols>
    <col min="1" max="1" width="7.99609375" style="69" customWidth="1"/>
    <col min="2" max="2" width="6.4453125" style="69" customWidth="1"/>
    <col min="3" max="5" width="7.99609375" style="69" customWidth="1"/>
    <col min="6" max="6" width="8.6640625" style="69" customWidth="1"/>
    <col min="7" max="7" width="11.6640625" style="69" customWidth="1"/>
    <col min="8" max="8" width="13.88671875" style="69" customWidth="1"/>
    <col min="9" max="16384" width="7.99609375" style="69" customWidth="1"/>
  </cols>
  <sheetData>
    <row r="5" spans="2:8" ht="19.5" customHeight="1">
      <c r="B5" s="70"/>
      <c r="C5" s="71"/>
      <c r="D5" s="71"/>
      <c r="E5" s="71"/>
      <c r="F5" s="71"/>
      <c r="G5" s="71"/>
      <c r="H5" s="72"/>
    </row>
    <row r="6" spans="2:8" ht="19.5" customHeight="1">
      <c r="B6" s="73"/>
      <c r="C6" s="74"/>
      <c r="D6" s="74"/>
      <c r="E6" s="74"/>
      <c r="F6" s="74"/>
      <c r="G6" s="74"/>
      <c r="H6" s="75"/>
    </row>
    <row r="7" spans="2:8" ht="19.5" customHeight="1">
      <c r="B7" s="147" t="s">
        <v>525</v>
      </c>
      <c r="C7" s="148"/>
      <c r="D7" s="148"/>
      <c r="E7" s="148"/>
      <c r="F7" s="148"/>
      <c r="G7" s="148"/>
      <c r="H7" s="149"/>
    </row>
    <row r="8" spans="2:8" ht="19.5" customHeight="1">
      <c r="B8" s="73"/>
      <c r="C8" s="74"/>
      <c r="D8" s="74"/>
      <c r="E8" s="74"/>
      <c r="F8" s="74"/>
      <c r="G8" s="74"/>
      <c r="H8" s="75"/>
    </row>
    <row r="9" spans="2:8" ht="24.75" customHeight="1">
      <c r="B9" s="73"/>
      <c r="C9" s="76" t="s">
        <v>510</v>
      </c>
      <c r="D9" s="74"/>
      <c r="E9" s="74"/>
      <c r="F9" s="74"/>
      <c r="G9" s="74"/>
      <c r="H9" s="75"/>
    </row>
    <row r="10" spans="2:8" ht="24.75" customHeight="1">
      <c r="B10" s="73"/>
      <c r="C10" s="76" t="s">
        <v>511</v>
      </c>
      <c r="D10" s="74"/>
      <c r="E10" s="74"/>
      <c r="F10" s="74"/>
      <c r="G10" s="74"/>
      <c r="H10" s="75"/>
    </row>
    <row r="11" spans="2:8" ht="24.75" customHeight="1">
      <c r="B11" s="73"/>
      <c r="C11" s="76" t="s">
        <v>524</v>
      </c>
      <c r="D11" s="74"/>
      <c r="E11" s="74"/>
      <c r="F11" s="74"/>
      <c r="G11" s="74"/>
      <c r="H11" s="75"/>
    </row>
    <row r="12" spans="2:8" ht="24.75" customHeight="1">
      <c r="B12" s="73"/>
      <c r="C12" s="77" t="s">
        <v>508</v>
      </c>
      <c r="D12" s="74"/>
      <c r="E12" s="74"/>
      <c r="F12" s="74"/>
      <c r="G12" s="74"/>
      <c r="H12" s="75"/>
    </row>
    <row r="13" spans="2:8" ht="24.75" customHeight="1">
      <c r="B13" s="73"/>
      <c r="C13" s="77"/>
      <c r="D13" s="74"/>
      <c r="E13" s="74"/>
      <c r="F13" s="74"/>
      <c r="G13" s="74"/>
      <c r="H13" s="75"/>
    </row>
    <row r="14" spans="2:8" ht="16.5" customHeight="1">
      <c r="B14" s="78" t="s">
        <v>639</v>
      </c>
      <c r="C14" s="77"/>
      <c r="D14" s="74"/>
      <c r="E14" s="74"/>
      <c r="F14" s="74"/>
      <c r="G14" s="74"/>
      <c r="H14" s="75"/>
    </row>
    <row r="15" spans="2:8" ht="16.5" customHeight="1">
      <c r="B15" s="78" t="s">
        <v>640</v>
      </c>
      <c r="C15" s="77"/>
      <c r="D15" s="74"/>
      <c r="E15" s="74"/>
      <c r="F15" s="74"/>
      <c r="G15" s="74"/>
      <c r="H15" s="75"/>
    </row>
    <row r="16" spans="2:8" ht="16.5" customHeight="1">
      <c r="B16" s="78" t="s">
        <v>509</v>
      </c>
      <c r="C16" s="79"/>
      <c r="D16" s="74"/>
      <c r="E16" s="74"/>
      <c r="F16" s="74"/>
      <c r="G16" s="74"/>
      <c r="H16" s="75"/>
    </row>
    <row r="17" spans="2:8" ht="24.75" customHeight="1">
      <c r="B17" s="78"/>
      <c r="C17" s="77"/>
      <c r="D17" s="74"/>
      <c r="E17" s="74"/>
      <c r="F17" s="74"/>
      <c r="G17" s="74"/>
      <c r="H17" s="75"/>
    </row>
    <row r="18" spans="2:8" ht="8.25" customHeight="1">
      <c r="B18" s="80"/>
      <c r="C18" s="81"/>
      <c r="D18" s="82"/>
      <c r="E18" s="82"/>
      <c r="F18" s="82"/>
      <c r="G18" s="82"/>
      <c r="H18" s="83"/>
    </row>
    <row r="20" spans="2:4" ht="19.5" customHeight="1">
      <c r="B20" s="84"/>
      <c r="C20" s="84"/>
      <c r="D20" s="84"/>
    </row>
    <row r="21" spans="2:4" ht="19.5" customHeight="1">
      <c r="B21" s="84"/>
      <c r="C21" s="84"/>
      <c r="D21" s="84"/>
    </row>
    <row r="22" spans="2:4" ht="19.5" customHeight="1">
      <c r="B22" s="84"/>
      <c r="C22" s="84"/>
      <c r="D22" s="84"/>
    </row>
    <row r="23" spans="2:4" ht="19.5" customHeight="1">
      <c r="B23" s="84"/>
      <c r="C23" s="84"/>
      <c r="D23" s="84"/>
    </row>
  </sheetData>
  <sheetProtection/>
  <mergeCells count="1">
    <mergeCell ref="B7:H7"/>
  </mergeCells>
  <printOptions/>
  <pageMargins left="0.82" right="0.75" top="5.38" bottom="1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K152"/>
  <sheetViews>
    <sheetView showGridLines="0" showRowColHeaders="0" zoomScale="90" zoomScaleNormal="90" zoomScalePageLayoutView="0" workbookViewId="0" topLeftCell="A1">
      <selection activeCell="B1" sqref="B1"/>
    </sheetView>
  </sheetViews>
  <sheetFormatPr defaultColWidth="8.88671875" defaultRowHeight="12.75" customHeight="1"/>
  <cols>
    <col min="1" max="1" width="2.21484375" style="97" customWidth="1"/>
    <col min="2" max="2" width="9.3359375" style="97" customWidth="1"/>
    <col min="3" max="4" width="8.88671875" style="97" customWidth="1"/>
    <col min="5" max="5" width="9.3359375" style="97" customWidth="1"/>
    <col min="6" max="7" width="8.88671875" style="97" customWidth="1"/>
    <col min="8" max="8" width="9.3359375" style="97" customWidth="1"/>
    <col min="9" max="10" width="8.88671875" style="97" customWidth="1"/>
    <col min="11" max="11" width="9.3359375" style="97" customWidth="1"/>
    <col min="12" max="13" width="8.88671875" style="97" customWidth="1"/>
    <col min="14" max="14" width="9.3359375" style="97" customWidth="1"/>
    <col min="15" max="16" width="8.88671875" style="97" customWidth="1"/>
    <col min="17" max="17" width="9.3359375" style="97" customWidth="1"/>
    <col min="18" max="19" width="8.88671875" style="97" customWidth="1"/>
    <col min="20" max="20" width="9.3359375" style="97" customWidth="1"/>
    <col min="21" max="22" width="8.88671875" style="97" customWidth="1"/>
    <col min="23" max="23" width="9.3359375" style="97" customWidth="1"/>
    <col min="24" max="25" width="8.88671875" style="97" customWidth="1"/>
    <col min="26" max="26" width="9.3359375" style="97" customWidth="1"/>
    <col min="27" max="28" width="8.88671875" style="97" customWidth="1"/>
    <col min="29" max="29" width="9.3359375" style="97" customWidth="1"/>
    <col min="30" max="31" width="8.88671875" style="97" customWidth="1"/>
    <col min="32" max="32" width="9.3359375" style="97" customWidth="1"/>
    <col min="33" max="34" width="8.88671875" style="97" customWidth="1"/>
    <col min="35" max="35" width="9.3359375" style="97" customWidth="1"/>
    <col min="36" max="16384" width="8.88671875" style="97" customWidth="1"/>
  </cols>
  <sheetData>
    <row r="1" ht="12.75" customHeight="1">
      <c r="A1" s="96" t="s">
        <v>528</v>
      </c>
    </row>
    <row r="2" spans="2:37" ht="12.75" customHeight="1">
      <c r="B2" s="97" t="s">
        <v>529</v>
      </c>
      <c r="C2" s="98">
        <f>RE</f>
        <v>74103.90426389959</v>
      </c>
      <c r="D2" s="99"/>
      <c r="E2" s="97" t="s">
        <v>529</v>
      </c>
      <c r="F2" s="98">
        <f>RE</f>
        <v>74103.90426389959</v>
      </c>
      <c r="G2" s="99"/>
      <c r="H2" s="97" t="s">
        <v>529</v>
      </c>
      <c r="I2" s="98">
        <f>RE</f>
        <v>74103.90426389959</v>
      </c>
      <c r="J2" s="99"/>
      <c r="K2" s="97" t="s">
        <v>529</v>
      </c>
      <c r="L2" s="98">
        <f>RE</f>
        <v>74103.90426389959</v>
      </c>
      <c r="M2" s="99"/>
      <c r="N2" s="97" t="s">
        <v>529</v>
      </c>
      <c r="O2" s="98">
        <f>RE</f>
        <v>74103.90426389959</v>
      </c>
      <c r="P2" s="99"/>
      <c r="Q2" s="97" t="s">
        <v>529</v>
      </c>
      <c r="R2" s="98">
        <f>RE</f>
        <v>74103.90426389959</v>
      </c>
      <c r="S2" s="99"/>
      <c r="T2" s="97" t="s">
        <v>529</v>
      </c>
      <c r="U2" s="98">
        <f>RE</f>
        <v>74103.90426389959</v>
      </c>
      <c r="V2" s="99"/>
      <c r="W2" s="97" t="s">
        <v>529</v>
      </c>
      <c r="X2" s="98">
        <f>RE</f>
        <v>74103.90426389959</v>
      </c>
      <c r="Y2" s="99"/>
      <c r="Z2" s="97" t="s">
        <v>529</v>
      </c>
      <c r="AA2" s="98">
        <f>RE</f>
        <v>74103.90426389959</v>
      </c>
      <c r="AB2" s="99"/>
      <c r="AC2" s="97" t="s">
        <v>529</v>
      </c>
      <c r="AD2" s="98">
        <f>RE</f>
        <v>74103.90426389959</v>
      </c>
      <c r="AE2" s="99"/>
      <c r="AF2" s="97" t="s">
        <v>529</v>
      </c>
      <c r="AG2" s="98">
        <f>RE</f>
        <v>74103.90426389959</v>
      </c>
      <c r="AH2" s="99"/>
      <c r="AI2" s="97" t="s">
        <v>529</v>
      </c>
      <c r="AJ2" s="98">
        <f>RE</f>
        <v>74103.90426389959</v>
      </c>
      <c r="AK2" s="99"/>
    </row>
    <row r="4" spans="2:37" ht="12.75" customHeight="1">
      <c r="B4" s="100" t="s">
        <v>530</v>
      </c>
      <c r="C4" s="101" t="s">
        <v>531</v>
      </c>
      <c r="D4" s="101"/>
      <c r="E4" s="100" t="s">
        <v>530</v>
      </c>
      <c r="F4" s="101" t="s">
        <v>531</v>
      </c>
      <c r="G4" s="101"/>
      <c r="H4" s="100" t="s">
        <v>530</v>
      </c>
      <c r="I4" s="101" t="s">
        <v>531</v>
      </c>
      <c r="J4" s="101"/>
      <c r="K4" s="100" t="s">
        <v>530</v>
      </c>
      <c r="L4" s="101" t="s">
        <v>531</v>
      </c>
      <c r="M4" s="101"/>
      <c r="N4" s="100" t="s">
        <v>530</v>
      </c>
      <c r="O4" s="101" t="s">
        <v>531</v>
      </c>
      <c r="P4" s="101"/>
      <c r="Q4" s="100" t="s">
        <v>530</v>
      </c>
      <c r="R4" s="101" t="s">
        <v>531</v>
      </c>
      <c r="S4" s="101"/>
      <c r="T4" s="100" t="s">
        <v>530</v>
      </c>
      <c r="U4" s="101" t="s">
        <v>531</v>
      </c>
      <c r="V4" s="101"/>
      <c r="W4" s="100" t="s">
        <v>530</v>
      </c>
      <c r="X4" s="101" t="s">
        <v>531</v>
      </c>
      <c r="Y4" s="101"/>
      <c r="Z4" s="100" t="s">
        <v>530</v>
      </c>
      <c r="AA4" s="101" t="s">
        <v>531</v>
      </c>
      <c r="AB4" s="101"/>
      <c r="AC4" s="100" t="s">
        <v>530</v>
      </c>
      <c r="AD4" s="101" t="s">
        <v>531</v>
      </c>
      <c r="AE4" s="101"/>
      <c r="AF4" s="100" t="s">
        <v>530</v>
      </c>
      <c r="AG4" s="101" t="s">
        <v>531</v>
      </c>
      <c r="AH4" s="101"/>
      <c r="AI4" s="100" t="s">
        <v>530</v>
      </c>
      <c r="AJ4" s="101" t="s">
        <v>531</v>
      </c>
      <c r="AK4" s="102"/>
    </row>
    <row r="5" spans="2:37" ht="12.75" customHeight="1">
      <c r="B5" s="103"/>
      <c r="C5" s="104">
        <v>0.0001</v>
      </c>
      <c r="D5" s="105"/>
      <c r="E5" s="103"/>
      <c r="F5" s="104">
        <v>0.0002</v>
      </c>
      <c r="G5" s="105"/>
      <c r="H5" s="103"/>
      <c r="I5" s="104">
        <v>0.0004</v>
      </c>
      <c r="J5" s="105"/>
      <c r="K5" s="103"/>
      <c r="L5" s="104">
        <v>0.0006</v>
      </c>
      <c r="M5" s="105"/>
      <c r="N5" s="103"/>
      <c r="O5" s="104">
        <v>0.0008</v>
      </c>
      <c r="P5" s="105"/>
      <c r="Q5" s="103"/>
      <c r="R5" s="104">
        <v>0.001</v>
      </c>
      <c r="S5" s="105"/>
      <c r="T5" s="103"/>
      <c r="U5" s="104">
        <v>0.002</v>
      </c>
      <c r="V5" s="105"/>
      <c r="W5" s="103"/>
      <c r="X5" s="104">
        <v>0.004</v>
      </c>
      <c r="Y5" s="105"/>
      <c r="Z5" s="103"/>
      <c r="AA5" s="104">
        <v>0.006</v>
      </c>
      <c r="AB5" s="105"/>
      <c r="AC5" s="103"/>
      <c r="AD5" s="104">
        <v>0.008</v>
      </c>
      <c r="AE5" s="105"/>
      <c r="AF5" s="103"/>
      <c r="AG5" s="104">
        <v>0.01</v>
      </c>
      <c r="AH5" s="105"/>
      <c r="AI5" s="103"/>
      <c r="AJ5" s="104">
        <v>0.015</v>
      </c>
      <c r="AK5" s="106"/>
    </row>
    <row r="6" spans="2:37" ht="12.75" customHeight="1">
      <c r="B6" s="100"/>
      <c r="C6" s="107">
        <f>IF(C2&lt;3000,0.044,0)</f>
        <v>0</v>
      </c>
      <c r="D6" s="108">
        <f>C6</f>
        <v>0</v>
      </c>
      <c r="E6" s="100"/>
      <c r="F6" s="107">
        <f>IF(F2&lt;3000,0.044,0)</f>
        <v>0</v>
      </c>
      <c r="G6" s="108">
        <f>F6</f>
        <v>0</v>
      </c>
      <c r="H6" s="100"/>
      <c r="I6" s="107">
        <f>IF(I2&lt;3000,0.044,0)</f>
        <v>0</v>
      </c>
      <c r="J6" s="108">
        <f>I6</f>
        <v>0</v>
      </c>
      <c r="K6" s="100"/>
      <c r="L6" s="107">
        <f>IF(L2&lt;3000,0.044,0)</f>
        <v>0</v>
      </c>
      <c r="M6" s="108">
        <f>L6</f>
        <v>0</v>
      </c>
      <c r="N6" s="100"/>
      <c r="O6" s="107">
        <f>IF(O2&lt;3000,0.044,0)</f>
        <v>0</v>
      </c>
      <c r="P6" s="108">
        <f>O6</f>
        <v>0</v>
      </c>
      <c r="Q6" s="100"/>
      <c r="R6" s="107">
        <f>IF(R2&lt;3000,0.044,0)</f>
        <v>0</v>
      </c>
      <c r="S6" s="108">
        <f>R6</f>
        <v>0</v>
      </c>
      <c r="T6" s="100"/>
      <c r="U6" s="107">
        <f>IF(U2&lt;3000,0.046,0)</f>
        <v>0</v>
      </c>
      <c r="V6" s="108">
        <f>U6</f>
        <v>0</v>
      </c>
      <c r="W6" s="100"/>
      <c r="X6" s="107">
        <f>IF(X2&lt;3000,0.048,0)</f>
        <v>0</v>
      </c>
      <c r="Y6" s="108">
        <f>X6</f>
        <v>0</v>
      </c>
      <c r="Z6" s="100"/>
      <c r="AA6" s="107">
        <f>IF(AA2&lt;3000,0.049,0)</f>
        <v>0</v>
      </c>
      <c r="AB6" s="108">
        <f>AA6</f>
        <v>0</v>
      </c>
      <c r="AC6" s="100"/>
      <c r="AD6" s="107">
        <f>IF(AD2&lt;3000,0.051,0)</f>
        <v>0</v>
      </c>
      <c r="AE6" s="108">
        <f>AD6</f>
        <v>0</v>
      </c>
      <c r="AF6" s="100"/>
      <c r="AG6" s="107">
        <f>IF(AG2&lt;3000,0.052,0)</f>
        <v>0</v>
      </c>
      <c r="AH6" s="108">
        <f>AG6</f>
        <v>0</v>
      </c>
      <c r="AI6" s="100"/>
      <c r="AJ6" s="107">
        <f>IF(AJ2&lt;3000,0.055,0)</f>
        <v>0</v>
      </c>
      <c r="AK6" s="108">
        <f>AJ6</f>
        <v>0</v>
      </c>
    </row>
    <row r="7" spans="2:37" ht="12.75" customHeight="1">
      <c r="B7" s="103">
        <v>3000</v>
      </c>
      <c r="C7" s="109">
        <v>0.044</v>
      </c>
      <c r="D7" s="110"/>
      <c r="E7" s="103">
        <v>3000</v>
      </c>
      <c r="F7" s="109">
        <v>0.044</v>
      </c>
      <c r="G7" s="110"/>
      <c r="H7" s="103">
        <v>3000</v>
      </c>
      <c r="I7" s="109">
        <v>0.044</v>
      </c>
      <c r="J7" s="110"/>
      <c r="K7" s="103">
        <v>3000</v>
      </c>
      <c r="L7" s="109">
        <v>0.044</v>
      </c>
      <c r="M7" s="110"/>
      <c r="N7" s="103">
        <v>3000</v>
      </c>
      <c r="O7" s="109">
        <v>0.044</v>
      </c>
      <c r="P7" s="110"/>
      <c r="Q7" s="103">
        <v>3000</v>
      </c>
      <c r="R7" s="109">
        <v>0.044</v>
      </c>
      <c r="S7" s="110"/>
      <c r="T7" s="103">
        <v>3000</v>
      </c>
      <c r="U7" s="109">
        <v>0.046</v>
      </c>
      <c r="V7" s="110"/>
      <c r="W7" s="103">
        <v>3000</v>
      </c>
      <c r="X7" s="109">
        <v>0.048</v>
      </c>
      <c r="Y7" s="110"/>
      <c r="Z7" s="103">
        <v>3000</v>
      </c>
      <c r="AA7" s="109">
        <v>0.049</v>
      </c>
      <c r="AB7" s="110"/>
      <c r="AC7" s="103">
        <v>3000</v>
      </c>
      <c r="AD7" s="109">
        <v>0.051</v>
      </c>
      <c r="AE7" s="110"/>
      <c r="AF7" s="103">
        <v>3000</v>
      </c>
      <c r="AG7" s="109">
        <v>0.052</v>
      </c>
      <c r="AH7" s="110"/>
      <c r="AI7" s="103">
        <v>3000</v>
      </c>
      <c r="AJ7" s="109">
        <v>0.055</v>
      </c>
      <c r="AK7" s="111"/>
    </row>
    <row r="8" spans="2:37" ht="12.75" customHeight="1">
      <c r="B8" s="103"/>
      <c r="C8" s="112">
        <f>IF(AND(C2&gt;=3000,C2&lt;=4000),(C7+(C9-C7)*(C2-B7)/(B9-B7)),0)</f>
        <v>0</v>
      </c>
      <c r="D8" s="108">
        <f>C8</f>
        <v>0</v>
      </c>
      <c r="E8" s="103"/>
      <c r="F8" s="112">
        <f>IF(AND(F2&gt;=3000,F2&lt;=4000),(F7+(F9-F7)*(F2-E7)/(E9-E7)),0)</f>
        <v>0</v>
      </c>
      <c r="G8" s="108">
        <f>F8</f>
        <v>0</v>
      </c>
      <c r="H8" s="103"/>
      <c r="I8" s="112">
        <f>IF(AND(I2&gt;=3000,I2&lt;=4000),(I7+(I9-I7)*(I2-H7)/(H9-H7)),0)</f>
        <v>0</v>
      </c>
      <c r="J8" s="108">
        <f>I8</f>
        <v>0</v>
      </c>
      <c r="K8" s="103"/>
      <c r="L8" s="112">
        <f>IF(AND(L2&gt;=3000,L2&lt;=4000),(L7+(L9-L7)*(L2-K7)/(K9-K7)),0)</f>
        <v>0</v>
      </c>
      <c r="M8" s="108">
        <f>L8</f>
        <v>0</v>
      </c>
      <c r="N8" s="103"/>
      <c r="O8" s="112">
        <f>IF(AND(O2&gt;=3000,O2&lt;=4000),(O7+(O9-O7)*(O2-N7)/(N9-N7)),0)</f>
        <v>0</v>
      </c>
      <c r="P8" s="108">
        <f>O8</f>
        <v>0</v>
      </c>
      <c r="Q8" s="103"/>
      <c r="R8" s="112">
        <f>IF(AND(R2&gt;=3000,R2&lt;=4000),(R7+(R9-R7)*(R2-Q7)/(Q9-Q7)),0)</f>
        <v>0</v>
      </c>
      <c r="S8" s="108">
        <f>R8</f>
        <v>0</v>
      </c>
      <c r="T8" s="103"/>
      <c r="U8" s="112">
        <f>IF(AND(U2&gt;=3000,U2&lt;=4000),(U7+(U9-U7)*(U2-T7)/(T9-T7)),0)</f>
        <v>0</v>
      </c>
      <c r="V8" s="108">
        <f>U8</f>
        <v>0</v>
      </c>
      <c r="W8" s="103"/>
      <c r="X8" s="112">
        <f>IF(AND(X2&gt;=3000,X2&lt;=4000),(X7+(X9-X7)*(X2-W7)/(W9-W7)),0)</f>
        <v>0</v>
      </c>
      <c r="Y8" s="108">
        <f>X8</f>
        <v>0</v>
      </c>
      <c r="Z8" s="103"/>
      <c r="AA8" s="112">
        <f>IF(AND(AA2&gt;=3000,AA2&lt;=4000),(AA7+(AA9-AA7)*(AA2-Z7)/(Z9-Z7)),0)</f>
        <v>0</v>
      </c>
      <c r="AB8" s="108">
        <f>AA8</f>
        <v>0</v>
      </c>
      <c r="AC8" s="103"/>
      <c r="AD8" s="112">
        <f>IF(AND(AD2&gt;=3000,AD2&lt;=4000),(AD7+(AD9-AD7)*(AD2-AC7)/(AC9-AC7)),0)</f>
        <v>0</v>
      </c>
      <c r="AE8" s="108">
        <f>AD8</f>
        <v>0</v>
      </c>
      <c r="AF8" s="103"/>
      <c r="AG8" s="112">
        <f>IF(AND(AG2&gt;=3000,AG2&lt;=4000),(AG7+(AG9-AG7)*(AG2-AF7)/(AF9-AF7)),0)</f>
        <v>0</v>
      </c>
      <c r="AH8" s="108">
        <f>AG8</f>
        <v>0</v>
      </c>
      <c r="AI8" s="103"/>
      <c r="AJ8" s="112">
        <f>IF(AND(AJ2&gt;=3000,AJ2&lt;=4000),(AJ7+(AJ9-AJ7)*(AJ2-AI7)/(AI9-AI7)),0)</f>
        <v>0</v>
      </c>
      <c r="AK8" s="108">
        <f>AJ8</f>
        <v>0</v>
      </c>
    </row>
    <row r="9" spans="2:37" ht="12.75" customHeight="1">
      <c r="B9" s="103">
        <v>4000</v>
      </c>
      <c r="C9" s="109">
        <v>0.0406</v>
      </c>
      <c r="D9" s="110"/>
      <c r="E9" s="103">
        <v>4000</v>
      </c>
      <c r="F9" s="109">
        <v>0.0406</v>
      </c>
      <c r="G9" s="110"/>
      <c r="H9" s="103">
        <v>4000</v>
      </c>
      <c r="I9" s="109">
        <v>0.0407</v>
      </c>
      <c r="J9" s="110"/>
      <c r="K9" s="103">
        <v>4000</v>
      </c>
      <c r="L9" s="109">
        <v>0.0408</v>
      </c>
      <c r="M9" s="110"/>
      <c r="N9" s="103">
        <v>4000</v>
      </c>
      <c r="O9" s="109">
        <v>0.0409</v>
      </c>
      <c r="P9" s="110"/>
      <c r="Q9" s="103">
        <v>4000</v>
      </c>
      <c r="R9" s="109">
        <v>0.041</v>
      </c>
      <c r="S9" s="110"/>
      <c r="T9" s="103">
        <v>4000</v>
      </c>
      <c r="U9" s="109">
        <v>0.042</v>
      </c>
      <c r="V9" s="110"/>
      <c r="W9" s="103">
        <v>4000</v>
      </c>
      <c r="X9" s="109">
        <v>0.044</v>
      </c>
      <c r="Y9" s="110"/>
      <c r="Z9" s="103">
        <v>4000</v>
      </c>
      <c r="AA9" s="109">
        <v>0.046</v>
      </c>
      <c r="AB9" s="110"/>
      <c r="AC9" s="103">
        <v>4000</v>
      </c>
      <c r="AD9" s="109">
        <v>0.0478</v>
      </c>
      <c r="AE9" s="110"/>
      <c r="AF9" s="103">
        <v>4000</v>
      </c>
      <c r="AG9" s="109">
        <v>0.0495</v>
      </c>
      <c r="AH9" s="110"/>
      <c r="AI9" s="103">
        <v>4000</v>
      </c>
      <c r="AJ9" s="109">
        <v>0.053</v>
      </c>
      <c r="AK9" s="111"/>
    </row>
    <row r="10" spans="2:37" ht="12.75" customHeight="1">
      <c r="B10" s="103"/>
      <c r="C10" s="112">
        <f>IF(AND(C2&gt;4000,C2&lt;=5000),(C9+(C11-C9)*(C2-B9)/(B11-B9)),0)</f>
        <v>0</v>
      </c>
      <c r="D10" s="108">
        <f>C10</f>
        <v>0</v>
      </c>
      <c r="E10" s="103"/>
      <c r="F10" s="112">
        <f>IF(AND(F2&gt;4000,F2&lt;=5000),(F9+(F11-F9)*(F2-E9)/(E11-E9)),0)</f>
        <v>0</v>
      </c>
      <c r="G10" s="108">
        <f>F10</f>
        <v>0</v>
      </c>
      <c r="H10" s="103"/>
      <c r="I10" s="112">
        <f>IF(AND(I2&gt;4000,I2&lt;=5000),(I9+(I11-I9)*(I2-H9)/(H11-H9)),0)</f>
        <v>0</v>
      </c>
      <c r="J10" s="108">
        <f>I10</f>
        <v>0</v>
      </c>
      <c r="K10" s="103"/>
      <c r="L10" s="112">
        <f>IF(AND(L2&gt;4000,L2&lt;=5000),(L9+(L11-L9)*(L2-K9)/(K11-K9)),0)</f>
        <v>0</v>
      </c>
      <c r="M10" s="108">
        <f>L10</f>
        <v>0</v>
      </c>
      <c r="N10" s="103"/>
      <c r="O10" s="112">
        <f>IF(AND(O2&gt;4000,O2&lt;=5000),(O9+(O11-O9)*(O2-N9)/(N11-N9)),0)</f>
        <v>0</v>
      </c>
      <c r="P10" s="108">
        <f>O10</f>
        <v>0</v>
      </c>
      <c r="Q10" s="103"/>
      <c r="R10" s="112">
        <f>IF(AND(R2&gt;4000,R2&lt;=5000),(R9+(R11-R9)*(R2-Q9)/(Q11-Q9)),0)</f>
        <v>0</v>
      </c>
      <c r="S10" s="108">
        <f>R10</f>
        <v>0</v>
      </c>
      <c r="T10" s="103"/>
      <c r="U10" s="112">
        <f>IF(AND(U2&gt;4000,U2&lt;=5000),(U9+(U11-U9)*(U2-T9)/(T11-T9)),0)</f>
        <v>0</v>
      </c>
      <c r="V10" s="108">
        <f>U10</f>
        <v>0</v>
      </c>
      <c r="W10" s="103"/>
      <c r="X10" s="112">
        <f>IF(AND(X2&gt;4000,X2&lt;=5000),(X9+(X11-X9)*(X2-W9)/(W11-W9)),0)</f>
        <v>0</v>
      </c>
      <c r="Y10" s="108">
        <f>X10</f>
        <v>0</v>
      </c>
      <c r="Z10" s="103"/>
      <c r="AA10" s="112">
        <f>IF(AND(AA2&gt;4000,AA2&lt;=5000),(AA9+(AA11-AA9)*(AA2-Z9)/(Z11-Z9)),0)</f>
        <v>0</v>
      </c>
      <c r="AB10" s="108">
        <f>AA10</f>
        <v>0</v>
      </c>
      <c r="AC10" s="103"/>
      <c r="AD10" s="112">
        <f>IF(AND(AD2&gt;4000,AD2&lt;=5000),(AD9+(AD11-AD9)*(AD2-AC9)/(AC11-AC9)),0)</f>
        <v>0</v>
      </c>
      <c r="AE10" s="108">
        <f>AD10</f>
        <v>0</v>
      </c>
      <c r="AF10" s="103"/>
      <c r="AG10" s="112">
        <f>IF(AND(AG2&gt;4000,AG2&lt;=5000),(AG9+(AG11-AG9)*(AG2-AF9)/(AF11-AF9)),0)</f>
        <v>0</v>
      </c>
      <c r="AH10" s="108">
        <f>AG10</f>
        <v>0</v>
      </c>
      <c r="AI10" s="103"/>
      <c r="AJ10" s="112">
        <f>IF(AND(AJ2&gt;4000,AJ2&lt;=5000),(AJ9+(AJ11-AJ9)*(AJ2-AI9)/(AI11-AI9)),0)</f>
        <v>0</v>
      </c>
      <c r="AK10" s="113">
        <f>AJ10</f>
        <v>0</v>
      </c>
    </row>
    <row r="11" spans="2:37" ht="12.75" customHeight="1">
      <c r="B11" s="103">
        <v>5000</v>
      </c>
      <c r="C11" s="109">
        <v>0.038</v>
      </c>
      <c r="D11" s="110"/>
      <c r="E11" s="103">
        <v>5000</v>
      </c>
      <c r="F11" s="109">
        <v>0.0382</v>
      </c>
      <c r="G11" s="110"/>
      <c r="H11" s="103">
        <v>5000</v>
      </c>
      <c r="I11" s="109">
        <v>0.0384</v>
      </c>
      <c r="J11" s="110"/>
      <c r="K11" s="103">
        <v>5000</v>
      </c>
      <c r="L11" s="109">
        <v>0.0386</v>
      </c>
      <c r="M11" s="110"/>
      <c r="N11" s="103">
        <v>5000</v>
      </c>
      <c r="O11" s="109">
        <v>0.0387</v>
      </c>
      <c r="P11" s="110"/>
      <c r="Q11" s="103">
        <v>5000</v>
      </c>
      <c r="R11" s="109">
        <v>0.0388</v>
      </c>
      <c r="S11" s="110"/>
      <c r="T11" s="103">
        <v>5000</v>
      </c>
      <c r="U11" s="109">
        <v>0.04</v>
      </c>
      <c r="V11" s="110"/>
      <c r="W11" s="103">
        <v>5000</v>
      </c>
      <c r="X11" s="109">
        <v>0.042</v>
      </c>
      <c r="Y11" s="110"/>
      <c r="Z11" s="103">
        <v>5000</v>
      </c>
      <c r="AA11" s="109">
        <v>0.044</v>
      </c>
      <c r="AB11" s="110"/>
      <c r="AC11" s="103">
        <v>5000</v>
      </c>
      <c r="AD11" s="109">
        <v>0.046</v>
      </c>
      <c r="AE11" s="110"/>
      <c r="AF11" s="103">
        <v>5000</v>
      </c>
      <c r="AG11" s="109">
        <v>0.0476</v>
      </c>
      <c r="AH11" s="110"/>
      <c r="AI11" s="103">
        <v>5000</v>
      </c>
      <c r="AJ11" s="109">
        <v>0.051</v>
      </c>
      <c r="AK11" s="111"/>
    </row>
    <row r="12" spans="2:37" ht="12.75" customHeight="1">
      <c r="B12" s="103"/>
      <c r="C12" s="112">
        <f>IF(AND(C2&gt;5000,C2&lt;=6000),(C11+(C13-C11)*(C2-B11)/(B13-B11)),0)</f>
        <v>0</v>
      </c>
      <c r="D12" s="112">
        <f>C12</f>
        <v>0</v>
      </c>
      <c r="E12" s="112"/>
      <c r="F12" s="112">
        <f>IF(AND(F2&gt;5000,F2&lt;=6000),(F11+(F13-F11)*(F2-E11)/(E13-E11)),0)</f>
        <v>0</v>
      </c>
      <c r="G12" s="112">
        <f>F12</f>
        <v>0</v>
      </c>
      <c r="H12" s="112"/>
      <c r="I12" s="112">
        <f>IF(AND(I2&gt;5000,I2&lt;=6000),(I11+(I13-I11)*(I2-H11)/(H13-H11)),0)</f>
        <v>0</v>
      </c>
      <c r="J12" s="112">
        <f>I12</f>
        <v>0</v>
      </c>
      <c r="K12" s="112"/>
      <c r="L12" s="112">
        <f>IF(AND(L2&gt;5000,L2&lt;=6000),(L11+(L13-L11)*(L2-K11)/(K13-K11)),0)</f>
        <v>0</v>
      </c>
      <c r="M12" s="112">
        <f>L12</f>
        <v>0</v>
      </c>
      <c r="N12" s="112"/>
      <c r="O12" s="112">
        <f>IF(AND(O2&gt;5000,O2&lt;=6000),(O11+(O13-O11)*(O2-N11)/(N13-N11)),0)</f>
        <v>0</v>
      </c>
      <c r="P12" s="112">
        <f>O12</f>
        <v>0</v>
      </c>
      <c r="Q12" s="112"/>
      <c r="R12" s="112">
        <f>IF(AND(R2&gt;5000,R2&lt;=6000),(R11+(R13-R11)*(R2-Q11)/(Q13-Q11)),0)</f>
        <v>0</v>
      </c>
      <c r="S12" s="112">
        <f>R12</f>
        <v>0</v>
      </c>
      <c r="T12" s="112"/>
      <c r="U12" s="112">
        <f>IF(AND(U2&gt;5000,U2&lt;=6000),(U11+(U13-U11)*(U2-T11)/(T13-T11)),0)</f>
        <v>0</v>
      </c>
      <c r="V12" s="112">
        <f>U12</f>
        <v>0</v>
      </c>
      <c r="W12" s="112"/>
      <c r="X12" s="112">
        <f>IF(AND(X2&gt;5000,X2&lt;=6000),(X11+(X13-X11)*(X2-W11)/(W13-W11)),0)</f>
        <v>0</v>
      </c>
      <c r="Y12" s="112">
        <f>X12</f>
        <v>0</v>
      </c>
      <c r="Z12" s="112"/>
      <c r="AA12" s="112">
        <f>IF(AND(AA2&gt;5000,AA2&lt;=6000),(AA11+(AA13-AA11)*(AA2-Z11)/(Z13-Z11)),0)</f>
        <v>0</v>
      </c>
      <c r="AB12" s="112">
        <f>AA12</f>
        <v>0</v>
      </c>
      <c r="AC12" s="112"/>
      <c r="AD12" s="112">
        <f>IF(AND(AD2&gt;5000,AD2&lt;=6000),(AD11+(AD13-AD11)*(AD2-AC11)/(AC13-AC11)),0)</f>
        <v>0</v>
      </c>
      <c r="AE12" s="112">
        <f>AD12</f>
        <v>0</v>
      </c>
      <c r="AF12" s="112"/>
      <c r="AG12" s="112">
        <f>IF(AND(AG2&gt;5000,AG2&lt;=6000),(AG11+(AG13-AG11)*(AG2-AF11)/(AF13-AF11)),0)</f>
        <v>0</v>
      </c>
      <c r="AH12" s="112">
        <f>AG12</f>
        <v>0</v>
      </c>
      <c r="AI12" s="112"/>
      <c r="AJ12" s="112">
        <f>IF(AND(AJ2&gt;5000,AJ2&lt;=6000),(AJ11+(AJ13-AJ11)*(AJ2-AI11)/(AI13-AI11)),0)</f>
        <v>0</v>
      </c>
      <c r="AK12" s="112">
        <f>AJ12</f>
        <v>0</v>
      </c>
    </row>
    <row r="13" spans="2:37" ht="12.75" customHeight="1">
      <c r="B13" s="103">
        <v>6000</v>
      </c>
      <c r="C13" s="109">
        <v>0.0358</v>
      </c>
      <c r="D13" s="110"/>
      <c r="E13" s="103">
        <v>6000</v>
      </c>
      <c r="F13" s="109">
        <v>0.036</v>
      </c>
      <c r="G13" s="110"/>
      <c r="H13" s="103">
        <v>6000</v>
      </c>
      <c r="I13" s="109">
        <v>0.0362</v>
      </c>
      <c r="J13" s="110"/>
      <c r="K13" s="103">
        <v>6000</v>
      </c>
      <c r="L13" s="109">
        <v>0.0365</v>
      </c>
      <c r="M13" s="110"/>
      <c r="N13" s="103">
        <v>6000</v>
      </c>
      <c r="O13" s="109">
        <v>0.0368</v>
      </c>
      <c r="P13" s="110"/>
      <c r="Q13" s="103">
        <v>6000</v>
      </c>
      <c r="R13" s="109">
        <v>0.037</v>
      </c>
      <c r="S13" s="110"/>
      <c r="T13" s="103">
        <v>6000</v>
      </c>
      <c r="U13" s="109">
        <v>0.038</v>
      </c>
      <c r="V13" s="110"/>
      <c r="W13" s="103">
        <v>6000</v>
      </c>
      <c r="X13" s="109">
        <v>0.04</v>
      </c>
      <c r="Y13" s="110"/>
      <c r="Z13" s="103">
        <v>6000</v>
      </c>
      <c r="AA13" s="109">
        <v>0.0423</v>
      </c>
      <c r="AB13" s="110"/>
      <c r="AC13" s="103">
        <v>6000</v>
      </c>
      <c r="AD13" s="109">
        <v>0.0442</v>
      </c>
      <c r="AE13" s="110"/>
      <c r="AF13" s="103">
        <v>6000</v>
      </c>
      <c r="AG13" s="109">
        <v>0.046</v>
      </c>
      <c r="AH13" s="110"/>
      <c r="AI13" s="103">
        <v>6000</v>
      </c>
      <c r="AJ13" s="109">
        <v>0.05</v>
      </c>
      <c r="AK13" s="111"/>
    </row>
    <row r="14" spans="2:37" ht="12.75" customHeight="1">
      <c r="B14" s="103"/>
      <c r="C14" s="112">
        <f>IF(AND(C2&gt;6000,C2&lt;=7000),(C13+(C15-C13)*(C2-B13)/(B15-B13)),0)</f>
        <v>0</v>
      </c>
      <c r="D14" s="112">
        <f>C14</f>
        <v>0</v>
      </c>
      <c r="E14" s="112"/>
      <c r="F14" s="112">
        <f>IF(AND(F2&gt;6000,F2&lt;=7000),(F13+(F15-F13)*(F2-E13)/(E15-E13)),0)</f>
        <v>0</v>
      </c>
      <c r="G14" s="112">
        <f>F14</f>
        <v>0</v>
      </c>
      <c r="H14" s="112"/>
      <c r="I14" s="112">
        <f>IF(AND(I2&gt;6000,I2&lt;=7000),(I13+(I15-I13)*(I2-H13)/(H15-H13)),0)</f>
        <v>0</v>
      </c>
      <c r="J14" s="112">
        <f>I14</f>
        <v>0</v>
      </c>
      <c r="K14" s="112"/>
      <c r="L14" s="112">
        <f>IF(AND(L2&gt;6000,L2&lt;=7000),(L13+(L15-L13)*(L2-K13)/(K15-K13)),0)</f>
        <v>0</v>
      </c>
      <c r="M14" s="112">
        <f>L14</f>
        <v>0</v>
      </c>
      <c r="N14" s="112"/>
      <c r="O14" s="112">
        <f>IF(AND(O2&gt;6000,O2&lt;=7000),(O13+(O15-O13)*(O2-N13)/(N15-N13)),0)</f>
        <v>0</v>
      </c>
      <c r="P14" s="112">
        <f>O14</f>
        <v>0</v>
      </c>
      <c r="Q14" s="112"/>
      <c r="R14" s="112">
        <f>IF(AND(R2&gt;6000,R2&lt;=7000),(R13+(R15-R13)*(R2-Q13)/(Q15-Q13)),0)</f>
        <v>0</v>
      </c>
      <c r="S14" s="112">
        <f>R14</f>
        <v>0</v>
      </c>
      <c r="T14" s="112"/>
      <c r="U14" s="112">
        <f>IF(AND(U2&gt;6000,U2&lt;=7000),(U13+(U15-U13)*(U2-T13)/(T15-T13)),0)</f>
        <v>0</v>
      </c>
      <c r="V14" s="112">
        <f>U14</f>
        <v>0</v>
      </c>
      <c r="W14" s="112"/>
      <c r="X14" s="112">
        <f>IF(AND(X2&gt;6000,X2&lt;=7000),(X13+(X15-X13)*(X2-W13)/(W15-W13)),0)</f>
        <v>0</v>
      </c>
      <c r="Y14" s="112">
        <f>X14</f>
        <v>0</v>
      </c>
      <c r="Z14" s="112"/>
      <c r="AA14" s="112">
        <f>IF(AND(AA2&gt;6000,AA2&lt;=7000),(AA13+(AA15-AA13)*(AA2-Z13)/(Z15-Z13)),0)</f>
        <v>0</v>
      </c>
      <c r="AB14" s="112">
        <f>AA14</f>
        <v>0</v>
      </c>
      <c r="AC14" s="112"/>
      <c r="AD14" s="112">
        <f>IF(AND(AD2&gt;6000,AD2&lt;=7000),(AD13+(AD15-AD13)*(AD2-AC13)/(AC15-AC13)),0)</f>
        <v>0</v>
      </c>
      <c r="AE14" s="112">
        <f>AD14</f>
        <v>0</v>
      </c>
      <c r="AF14" s="112"/>
      <c r="AG14" s="112">
        <f>IF(AND(AG2&gt;6000,AG2&lt;=7000),(AG13+(AG15-AG13)*(AG2-AF13)/(AF15-AF13)),0)</f>
        <v>0</v>
      </c>
      <c r="AH14" s="112">
        <f>AG14</f>
        <v>0</v>
      </c>
      <c r="AI14" s="112"/>
      <c r="AJ14" s="112">
        <f>IF(AND(AJ2&gt;6000,AJ2&lt;=7000),(AJ13+(AJ15-AJ13)*(AJ2-AI13)/(AI15-AI13)),0)</f>
        <v>0</v>
      </c>
      <c r="AK14" s="112">
        <f>AJ14</f>
        <v>0</v>
      </c>
    </row>
    <row r="15" spans="2:37" ht="12.75" customHeight="1">
      <c r="B15" s="103">
        <v>7000</v>
      </c>
      <c r="C15" s="109">
        <v>0.0331</v>
      </c>
      <c r="D15" s="110"/>
      <c r="E15" s="103">
        <v>7000</v>
      </c>
      <c r="F15" s="109">
        <v>0.0335</v>
      </c>
      <c r="G15" s="110"/>
      <c r="H15" s="103">
        <v>7000</v>
      </c>
      <c r="I15" s="109">
        <v>0.0338</v>
      </c>
      <c r="J15" s="110"/>
      <c r="K15" s="103">
        <v>7000</v>
      </c>
      <c r="L15" s="109">
        <v>0.0342</v>
      </c>
      <c r="M15" s="110"/>
      <c r="N15" s="103">
        <v>7000</v>
      </c>
      <c r="O15" s="109">
        <v>0.0345</v>
      </c>
      <c r="P15" s="110"/>
      <c r="Q15" s="103">
        <v>7000</v>
      </c>
      <c r="R15" s="109">
        <v>0.0352</v>
      </c>
      <c r="S15" s="110"/>
      <c r="T15" s="103">
        <v>7000</v>
      </c>
      <c r="U15" s="109">
        <v>0.0367</v>
      </c>
      <c r="V15" s="110"/>
      <c r="W15" s="103">
        <v>7000</v>
      </c>
      <c r="X15" s="109">
        <v>0.039</v>
      </c>
      <c r="Y15" s="110"/>
      <c r="Z15" s="103">
        <v>7000</v>
      </c>
      <c r="AA15" s="109">
        <v>0.0417</v>
      </c>
      <c r="AB15" s="110"/>
      <c r="AC15" s="103">
        <v>7000</v>
      </c>
      <c r="AD15" s="109">
        <v>0.0432</v>
      </c>
      <c r="AE15" s="110"/>
      <c r="AF15" s="103">
        <v>7000</v>
      </c>
      <c r="AG15" s="109">
        <v>0.045</v>
      </c>
      <c r="AH15" s="110"/>
      <c r="AI15" s="103">
        <v>7000</v>
      </c>
      <c r="AJ15" s="109">
        <v>0.0495</v>
      </c>
      <c r="AK15" s="111"/>
    </row>
    <row r="16" spans="2:37" ht="12.75" customHeight="1">
      <c r="B16" s="103"/>
      <c r="C16" s="112">
        <f>IF(AND(C2&gt;7000,C2&lt;=8000),(C15+(C17-C15)*(C2-B15)/(B17-B15)),0)</f>
        <v>0</v>
      </c>
      <c r="D16" s="112">
        <f>C16</f>
        <v>0</v>
      </c>
      <c r="E16" s="112"/>
      <c r="F16" s="112">
        <f>IF(AND(F2&gt;7000,F2&lt;=8000),(F15+(F17-F15)*(F2-E15)/(E17-E15)),0)</f>
        <v>0</v>
      </c>
      <c r="G16" s="112">
        <f>F16</f>
        <v>0</v>
      </c>
      <c r="H16" s="112"/>
      <c r="I16" s="112">
        <f>IF(AND(I2&gt;7000,I2&lt;=8000),(I15+(I17-I15)*(I2-H15)/(H17-H15)),0)</f>
        <v>0</v>
      </c>
      <c r="J16" s="112">
        <f>I16</f>
        <v>0</v>
      </c>
      <c r="K16" s="112"/>
      <c r="L16" s="112">
        <f>IF(AND(L2&gt;7000,L2&lt;=8000),(L15+(L17-L15)*(L2-K15)/(K17-K15)),0)</f>
        <v>0</v>
      </c>
      <c r="M16" s="112">
        <f>L16</f>
        <v>0</v>
      </c>
      <c r="N16" s="112"/>
      <c r="O16" s="112">
        <f>IF(AND(O2&gt;7000,O2&lt;=8000),(O15+(O17-O15)*(O2-N15)/(N17-N15)),0)</f>
        <v>0</v>
      </c>
      <c r="P16" s="112">
        <f>O16</f>
        <v>0</v>
      </c>
      <c r="Q16" s="112"/>
      <c r="R16" s="112">
        <f>IF(AND(R2&gt;7000,R2&lt;=8000),(R15+(R17-R15)*(R2-Q15)/(Q17-Q15)),0)</f>
        <v>0</v>
      </c>
      <c r="S16" s="112">
        <f>R16</f>
        <v>0</v>
      </c>
      <c r="T16" s="112"/>
      <c r="U16" s="112">
        <f>IF(AND(U2&gt;7000,U2&lt;=8000),(U15+(U17-U15)*(U2-T15)/(T17-T15)),0)</f>
        <v>0</v>
      </c>
      <c r="V16" s="112">
        <f>U16</f>
        <v>0</v>
      </c>
      <c r="W16" s="112"/>
      <c r="X16" s="112">
        <f>IF(AND(X2&gt;7000,X2&lt;=8000),(X15+(X17-X15)*(X2-W15)/(W17-W15)),0)</f>
        <v>0</v>
      </c>
      <c r="Y16" s="112">
        <f>X16</f>
        <v>0</v>
      </c>
      <c r="Z16" s="112"/>
      <c r="AA16" s="112">
        <f>IF(AND(AA2&gt;7000,AA2&lt;=8000),(AA15+(AA17-AA15)*(AA2-Z15)/(Z17-Z15)),0)</f>
        <v>0</v>
      </c>
      <c r="AB16" s="112">
        <f>AA16</f>
        <v>0</v>
      </c>
      <c r="AC16" s="112"/>
      <c r="AD16" s="112">
        <f>IF(AND(AD2&gt;7000,AD2&lt;=8000),(AD15+(AD17-AD15)*(AD2-AC15)/(AC17-AC15)),0)</f>
        <v>0</v>
      </c>
      <c r="AE16" s="112">
        <f>AD16</f>
        <v>0</v>
      </c>
      <c r="AF16" s="112"/>
      <c r="AG16" s="112">
        <f>IF(AND(AG2&gt;7000,AG2&lt;=8000),(AG15+(AG17-AG15)*(AG2-AF15)/(AF17-AF15)),0)</f>
        <v>0</v>
      </c>
      <c r="AH16" s="112">
        <f>AG16</f>
        <v>0</v>
      </c>
      <c r="AI16" s="112"/>
      <c r="AJ16" s="112">
        <f>IF(AND(AJ2&gt;7000,AJ2&lt;=8000),(AJ15+(AJ17-AJ15)*(AJ2-AI15)/(AI17-AI15)),0)</f>
        <v>0</v>
      </c>
      <c r="AK16" s="112">
        <f>AJ16</f>
        <v>0</v>
      </c>
    </row>
    <row r="17" spans="2:37" ht="12.75" customHeight="1">
      <c r="B17" s="103">
        <v>8000</v>
      </c>
      <c r="C17" s="109">
        <v>0.033</v>
      </c>
      <c r="D17" s="110"/>
      <c r="E17" s="103">
        <v>8000</v>
      </c>
      <c r="F17" s="109">
        <v>0.0333</v>
      </c>
      <c r="G17" s="110"/>
      <c r="H17" s="103">
        <v>8000</v>
      </c>
      <c r="I17" s="109">
        <v>0.0335</v>
      </c>
      <c r="J17" s="110"/>
      <c r="K17" s="103">
        <v>8000</v>
      </c>
      <c r="L17" s="109">
        <v>0.037</v>
      </c>
      <c r="M17" s="110"/>
      <c r="N17" s="103">
        <v>8000</v>
      </c>
      <c r="O17" s="109">
        <v>0.034</v>
      </c>
      <c r="P17" s="110"/>
      <c r="Q17" s="103">
        <v>8000</v>
      </c>
      <c r="R17" s="109">
        <v>0.0342</v>
      </c>
      <c r="S17" s="110"/>
      <c r="T17" s="103">
        <v>8000</v>
      </c>
      <c r="U17" s="109">
        <v>0.0358</v>
      </c>
      <c r="V17" s="110"/>
      <c r="W17" s="103">
        <v>8000</v>
      </c>
      <c r="X17" s="109">
        <v>0.038</v>
      </c>
      <c r="Y17" s="110"/>
      <c r="Z17" s="103">
        <v>8000</v>
      </c>
      <c r="AA17" s="109">
        <v>0.0408</v>
      </c>
      <c r="AB17" s="110"/>
      <c r="AC17" s="103">
        <v>8000</v>
      </c>
      <c r="AD17" s="109">
        <v>0.0422</v>
      </c>
      <c r="AE17" s="110"/>
      <c r="AF17" s="103">
        <v>8000</v>
      </c>
      <c r="AG17" s="109">
        <v>0.044</v>
      </c>
      <c r="AH17" s="110"/>
      <c r="AI17" s="103">
        <v>8000</v>
      </c>
      <c r="AJ17" s="109">
        <v>0.0487</v>
      </c>
      <c r="AK17" s="111"/>
    </row>
    <row r="18" spans="2:37" ht="12.75" customHeight="1">
      <c r="B18" s="103"/>
      <c r="C18" s="112">
        <f>IF(AND(C2&gt;8000,C2&lt;=9000),(C17+(C19-C17)*(C2-B17)/(B19-B17)),0)</f>
        <v>0</v>
      </c>
      <c r="D18" s="112">
        <f>C18</f>
        <v>0</v>
      </c>
      <c r="E18" s="112"/>
      <c r="F18" s="112">
        <f>IF(AND(F2&gt;8000,F2&lt;=9000),(F17+(F19-F17)*(F2-E17)/(E19-E17)),0)</f>
        <v>0</v>
      </c>
      <c r="G18" s="112">
        <f>F18</f>
        <v>0</v>
      </c>
      <c r="H18" s="112"/>
      <c r="I18" s="112">
        <f>IF(AND(I2&gt;8000,I2&lt;=9000),(I17+(I19-I17)*(I2-H17)/(H19-H17)),0)</f>
        <v>0</v>
      </c>
      <c r="J18" s="112">
        <f>I18</f>
        <v>0</v>
      </c>
      <c r="K18" s="112"/>
      <c r="L18" s="112">
        <f>IF(AND(L2&gt;8000,L2&lt;=9000),(L17+(L19-L17)*(L2-K17)/(K19-K17)),0)</f>
        <v>0</v>
      </c>
      <c r="M18" s="112">
        <f>L18</f>
        <v>0</v>
      </c>
      <c r="N18" s="112"/>
      <c r="O18" s="112">
        <f>IF(AND(O2&gt;8000,O2&lt;=9000),(O17+(O19-O17)*(O2-N17)/(N19-N17)),0)</f>
        <v>0</v>
      </c>
      <c r="P18" s="112">
        <f>O18</f>
        <v>0</v>
      </c>
      <c r="Q18" s="112"/>
      <c r="R18" s="112">
        <f>IF(AND(R2&gt;8000,R2&lt;=9000),(R17+(R19-R17)*(R2-Q17)/(Q19-Q17)),0)</f>
        <v>0</v>
      </c>
      <c r="S18" s="112">
        <f>R18</f>
        <v>0</v>
      </c>
      <c r="T18" s="112"/>
      <c r="U18" s="112">
        <f>IF(AND(U2&gt;8000,U2&lt;=9000),(U17+(U19-U17)*(U2-T17)/(T19-T17)),0)</f>
        <v>0</v>
      </c>
      <c r="V18" s="112">
        <f>U18</f>
        <v>0</v>
      </c>
      <c r="W18" s="112"/>
      <c r="X18" s="112">
        <f>IF(AND(X2&gt;8000,X2&lt;=9000),(X17+(X19-X17)*(X2-W17)/(W19-W17)),0)</f>
        <v>0</v>
      </c>
      <c r="Y18" s="112">
        <f>X18</f>
        <v>0</v>
      </c>
      <c r="Z18" s="112"/>
      <c r="AA18" s="112">
        <f>IF(AND(AA2&gt;8000,AA2&lt;=9000),(AA17+(AA19-AA17)*(AA2-Z17)/(Z19-Z17)),0)</f>
        <v>0</v>
      </c>
      <c r="AB18" s="112">
        <f>AA18</f>
        <v>0</v>
      </c>
      <c r="AC18" s="112"/>
      <c r="AD18" s="112">
        <f>IF(AND(AD2&gt;8000,AD2&lt;=9000),(AD17+(AD19-AD17)*(AD2-AC17)/(AC19-AC17)),0)</f>
        <v>0</v>
      </c>
      <c r="AE18" s="112">
        <f>AD18</f>
        <v>0</v>
      </c>
      <c r="AF18" s="112"/>
      <c r="AG18" s="112">
        <f>IF(AND(AG2&gt;8000,AG2&lt;=9000),(AG17+(AG19-AG17)*(AG2-AF17)/(AF19-AF17)),0)</f>
        <v>0</v>
      </c>
      <c r="AH18" s="112">
        <f>AG18</f>
        <v>0</v>
      </c>
      <c r="AI18" s="112"/>
      <c r="AJ18" s="112">
        <f>IF(AND(AJ2&gt;8000,AJ2&lt;=9000),(AJ17+(AJ19-AJ17)*(AJ2-AI17)/(AI19-AI17)),0)</f>
        <v>0</v>
      </c>
      <c r="AK18" s="112">
        <f>AJ18</f>
        <v>0</v>
      </c>
    </row>
    <row r="19" spans="2:37" ht="12.75" customHeight="1">
      <c r="B19" s="103">
        <v>9000</v>
      </c>
      <c r="C19" s="109">
        <v>0.032</v>
      </c>
      <c r="D19" s="110"/>
      <c r="E19" s="103">
        <v>9000</v>
      </c>
      <c r="F19" s="109">
        <v>0.0323</v>
      </c>
      <c r="G19" s="110"/>
      <c r="H19" s="103">
        <v>9000</v>
      </c>
      <c r="I19" s="109">
        <v>0.0325</v>
      </c>
      <c r="J19" s="110"/>
      <c r="K19" s="103">
        <v>9000</v>
      </c>
      <c r="L19" s="109">
        <v>0.0327</v>
      </c>
      <c r="M19" s="110"/>
      <c r="N19" s="103">
        <v>9000</v>
      </c>
      <c r="O19" s="109">
        <v>0.0329</v>
      </c>
      <c r="P19" s="110"/>
      <c r="Q19" s="103">
        <v>9000</v>
      </c>
      <c r="R19" s="109">
        <v>0.0332</v>
      </c>
      <c r="S19" s="110"/>
      <c r="T19" s="103">
        <v>9000</v>
      </c>
      <c r="U19" s="109">
        <v>0.0345</v>
      </c>
      <c r="V19" s="110"/>
      <c r="W19" s="103">
        <v>9000</v>
      </c>
      <c r="X19" s="109">
        <v>0.0372</v>
      </c>
      <c r="Y19" s="110"/>
      <c r="Z19" s="103">
        <v>9000</v>
      </c>
      <c r="AA19" s="109">
        <v>0.0399</v>
      </c>
      <c r="AB19" s="110"/>
      <c r="AC19" s="103">
        <v>9000</v>
      </c>
      <c r="AD19" s="109">
        <v>0.0418</v>
      </c>
      <c r="AE19" s="110"/>
      <c r="AF19" s="103">
        <v>9000</v>
      </c>
      <c r="AG19" s="109">
        <v>0.0435</v>
      </c>
      <c r="AH19" s="110"/>
      <c r="AI19" s="103">
        <v>9000</v>
      </c>
      <c r="AJ19" s="109">
        <v>0.0481</v>
      </c>
      <c r="AK19" s="111"/>
    </row>
    <row r="20" spans="2:37" ht="12.75" customHeight="1">
      <c r="B20" s="103"/>
      <c r="C20" s="112">
        <f>IF(AND(C2&gt;9000,C2&lt;=10000),(C19+(C21-C19)*(C2-B19)/(B21-B19)),0)</f>
        <v>0</v>
      </c>
      <c r="D20" s="112">
        <f>C20</f>
        <v>0</v>
      </c>
      <c r="E20" s="112"/>
      <c r="F20" s="112">
        <f>IF(AND(F2&gt;9000,F2&lt;=10000),(F19+(F21-F19)*(F2-E19)/(E21-E19)),0)</f>
        <v>0</v>
      </c>
      <c r="G20" s="112">
        <f>F20</f>
        <v>0</v>
      </c>
      <c r="H20" s="112"/>
      <c r="I20" s="112">
        <f>IF(AND(I2&gt;9000,I2&lt;=10000),(I19+(I21-I19)*(I2-H19)/(H21-H19)),0)</f>
        <v>0</v>
      </c>
      <c r="J20" s="112">
        <f>I20</f>
        <v>0</v>
      </c>
      <c r="K20" s="112"/>
      <c r="L20" s="112">
        <f>IF(AND(L2&gt;9000,L2&lt;=10000),(L19+(L21-L19)*(L2-K19)/(K21-K19)),0)</f>
        <v>0</v>
      </c>
      <c r="M20" s="112">
        <f>L20</f>
        <v>0</v>
      </c>
      <c r="N20" s="112"/>
      <c r="O20" s="112">
        <f>IF(AND(O2&gt;9000,O2&lt;=10000),(O19+(O21-O19)*(O2-N19)/(N21-N19)),0)</f>
        <v>0</v>
      </c>
      <c r="P20" s="112">
        <f>O20</f>
        <v>0</v>
      </c>
      <c r="Q20" s="112"/>
      <c r="R20" s="112">
        <f>IF(AND(R2&gt;9000,R2&lt;=10000),(R19+(R21-R19)*(R2-Q19)/(Q21-Q19)),0)</f>
        <v>0</v>
      </c>
      <c r="S20" s="112">
        <f>R20</f>
        <v>0</v>
      </c>
      <c r="T20" s="112"/>
      <c r="U20" s="112">
        <f>IF(AND(U2&gt;9000,U2&lt;=10000),(U19+(U21-U19)*(U2-T19)/(T21-T19)),0)</f>
        <v>0</v>
      </c>
      <c r="V20" s="112">
        <f>U20</f>
        <v>0</v>
      </c>
      <c r="W20" s="112"/>
      <c r="X20" s="112">
        <f>IF(AND(X2&gt;9000,X2&lt;=10000),(X19+(X21-X19)*(X2-W19)/(W21-W19)),0)</f>
        <v>0</v>
      </c>
      <c r="Y20" s="112">
        <f>X20</f>
        <v>0</v>
      </c>
      <c r="Z20" s="112"/>
      <c r="AA20" s="112">
        <f>IF(AND(AA2&gt;9000,AA2&lt;=10000),(AA19+(AA21-AA19)*(AA2-Z19)/(Z21-Z19)),0)</f>
        <v>0</v>
      </c>
      <c r="AB20" s="112">
        <f>AA20</f>
        <v>0</v>
      </c>
      <c r="AC20" s="112"/>
      <c r="AD20" s="112">
        <f>IF(AND(AD2&gt;9000,AD2&lt;=10000),(AD19+(AD21-AD19)*(AD2-AC19)/(AC21-AC19)),0)</f>
        <v>0</v>
      </c>
      <c r="AE20" s="112">
        <f>AD20</f>
        <v>0</v>
      </c>
      <c r="AF20" s="112"/>
      <c r="AG20" s="112">
        <f>IF(AND(AG2&gt;9000,AG2&lt;=10000),(AG19+(AG21-AG19)*(AG2-AF19)/(AF21-AF19)),0)</f>
        <v>0</v>
      </c>
      <c r="AH20" s="112">
        <f>AG20</f>
        <v>0</v>
      </c>
      <c r="AI20" s="112"/>
      <c r="AJ20" s="112">
        <f>IF(AND(AJ2&gt;9000,AJ2&lt;=10000),(AJ19+(AJ21-AJ19)*(AJ2-AI19)/(AI21-AI19)),0)</f>
        <v>0</v>
      </c>
      <c r="AK20" s="112">
        <f>AJ20</f>
        <v>0</v>
      </c>
    </row>
    <row r="21" spans="2:37" ht="12.75" customHeight="1">
      <c r="B21" s="103">
        <v>10000</v>
      </c>
      <c r="C21" s="109">
        <v>0.0313</v>
      </c>
      <c r="D21" s="110"/>
      <c r="E21" s="103">
        <v>10000</v>
      </c>
      <c r="F21" s="109">
        <v>0.0315</v>
      </c>
      <c r="G21" s="110"/>
      <c r="H21" s="103">
        <v>10000</v>
      </c>
      <c r="I21" s="109">
        <v>0.0317</v>
      </c>
      <c r="J21" s="110"/>
      <c r="K21" s="103">
        <v>10000</v>
      </c>
      <c r="L21" s="109">
        <v>0.032</v>
      </c>
      <c r="M21" s="110"/>
      <c r="N21" s="103">
        <v>10000</v>
      </c>
      <c r="O21" s="109">
        <v>0.0322</v>
      </c>
      <c r="P21" s="110"/>
      <c r="Q21" s="103">
        <v>10000</v>
      </c>
      <c r="R21" s="109">
        <v>0.0325</v>
      </c>
      <c r="S21" s="110"/>
      <c r="T21" s="103">
        <v>10000</v>
      </c>
      <c r="U21" s="109">
        <v>0.0338</v>
      </c>
      <c r="V21" s="110"/>
      <c r="W21" s="103">
        <v>10000</v>
      </c>
      <c r="X21" s="109">
        <v>0.0365</v>
      </c>
      <c r="Y21" s="110"/>
      <c r="Z21" s="103">
        <v>10000</v>
      </c>
      <c r="AA21" s="109">
        <v>0.0395</v>
      </c>
      <c r="AB21" s="110"/>
      <c r="AC21" s="103">
        <v>10000</v>
      </c>
      <c r="AD21" s="109">
        <v>0.0143</v>
      </c>
      <c r="AE21" s="110"/>
      <c r="AF21" s="103">
        <v>10000</v>
      </c>
      <c r="AG21" s="109">
        <v>0.0432</v>
      </c>
      <c r="AH21" s="110"/>
      <c r="AI21" s="103">
        <v>10000</v>
      </c>
      <c r="AJ21" s="109">
        <v>0.0479</v>
      </c>
      <c r="AK21" s="111"/>
    </row>
    <row r="22" spans="2:37" ht="12.75" customHeight="1">
      <c r="B22" s="103"/>
      <c r="C22" s="112">
        <f>IF(AND(C2&gt;10000,C2&lt;=20000),(C21+(C23-C21)*(C2-B21)/(B23-B21)),0)</f>
        <v>0</v>
      </c>
      <c r="D22" s="112">
        <f>C22</f>
        <v>0</v>
      </c>
      <c r="E22" s="112"/>
      <c r="F22" s="112">
        <f>IF(AND(F2&gt;10000,F2&lt;=20000),(F21+(F23-F21)*(F2-E21)/(E23-E21)),0)</f>
        <v>0</v>
      </c>
      <c r="G22" s="112">
        <f>F22</f>
        <v>0</v>
      </c>
      <c r="H22" s="112"/>
      <c r="I22" s="112">
        <f>IF(AND(I2&gt;10000,I2&lt;=20000),(I21+(I23-I21)*(I2-H21)/(H23-H21)),0)</f>
        <v>0</v>
      </c>
      <c r="J22" s="112">
        <f>I22</f>
        <v>0</v>
      </c>
      <c r="K22" s="112"/>
      <c r="L22" s="112">
        <f>IF(AND(L2&gt;10000,L2&lt;=20000),(L21+(L23-L21)*(L2-K21)/(K23-K21)),0)</f>
        <v>0</v>
      </c>
      <c r="M22" s="112">
        <f>L22</f>
        <v>0</v>
      </c>
      <c r="N22" s="112"/>
      <c r="O22" s="112">
        <f>IF(AND(O2&gt;10000,O2&lt;=20000),(O21+(O23-O21)*(O2-N21)/(N23-N21)),0)</f>
        <v>0</v>
      </c>
      <c r="P22" s="112">
        <f>O22</f>
        <v>0</v>
      </c>
      <c r="Q22" s="112"/>
      <c r="R22" s="112">
        <f>IF(AND(R2&gt;10000,R2&lt;=20000),(R21+(R23-R21)*(R2-Q21)/(Q23-Q21)),0)</f>
        <v>0</v>
      </c>
      <c r="S22" s="112">
        <f>R22</f>
        <v>0</v>
      </c>
      <c r="T22" s="112"/>
      <c r="U22" s="112">
        <f>IF(AND(U2&gt;10000,U2&lt;=20000),(U21+(U23-U21)*(U2-T21)/(T23-T21)),0)</f>
        <v>0</v>
      </c>
      <c r="V22" s="112">
        <f>U22</f>
        <v>0</v>
      </c>
      <c r="W22" s="112"/>
      <c r="X22" s="112">
        <f>IF(AND(X2&gt;10000,X2&lt;=20000),(X21+(X23-X21)*(X2-W21)/(W23-W21)),0)</f>
        <v>0</v>
      </c>
      <c r="Y22" s="112">
        <f>X22</f>
        <v>0</v>
      </c>
      <c r="Z22" s="112"/>
      <c r="AA22" s="112">
        <f>IF(AND(AA2&gt;10000,AA2&lt;=20000),(AA21+(AA23-AA21)*(AA2-Z21)/(Z23-Z21)),0)</f>
        <v>0</v>
      </c>
      <c r="AB22" s="112">
        <f>AA22</f>
        <v>0</v>
      </c>
      <c r="AC22" s="112"/>
      <c r="AD22" s="112">
        <f>IF(AND(AD2&gt;10000,AD2&lt;=20000),(AD21+(AD23-AD21)*(AD2-AC21)/(AC23-AC21)),0)</f>
        <v>0</v>
      </c>
      <c r="AE22" s="112">
        <f>AD22</f>
        <v>0</v>
      </c>
      <c r="AF22" s="112"/>
      <c r="AG22" s="112">
        <f>IF(AND(AG2&gt;10000,AG2&lt;=20000),(AG21+(AG23-AG21)*(AG2-AF21)/(AF23-AF21)),0)</f>
        <v>0</v>
      </c>
      <c r="AH22" s="112">
        <f>AG22</f>
        <v>0</v>
      </c>
      <c r="AI22" s="112"/>
      <c r="AJ22" s="112">
        <f>IF(AND(AJ2&gt;10000,AJ2&lt;=20000),(AJ21+(AJ23-AJ21)*(AJ2-AI21)/(AI23-AI21)),0)</f>
        <v>0</v>
      </c>
      <c r="AK22" s="112">
        <f>AJ22</f>
        <v>0</v>
      </c>
    </row>
    <row r="23" spans="2:37" ht="12.75" customHeight="1">
      <c r="B23" s="103">
        <v>20000</v>
      </c>
      <c r="C23" s="109">
        <v>0.0267</v>
      </c>
      <c r="D23" s="110"/>
      <c r="E23" s="103">
        <v>20000</v>
      </c>
      <c r="F23" s="109">
        <v>0.0268</v>
      </c>
      <c r="G23" s="110"/>
      <c r="H23" s="103">
        <v>20000</v>
      </c>
      <c r="I23" s="109">
        <v>0.0269</v>
      </c>
      <c r="J23" s="110"/>
      <c r="K23" s="103">
        <v>20000</v>
      </c>
      <c r="L23" s="109">
        <v>0.0275</v>
      </c>
      <c r="M23" s="110"/>
      <c r="N23" s="103">
        <v>20000</v>
      </c>
      <c r="O23" s="109">
        <v>0.0277</v>
      </c>
      <c r="P23" s="110"/>
      <c r="Q23" s="103">
        <v>20000</v>
      </c>
      <c r="R23" s="109">
        <v>0.028</v>
      </c>
      <c r="S23" s="110"/>
      <c r="T23" s="103">
        <v>20000</v>
      </c>
      <c r="U23" s="109">
        <v>0.0298</v>
      </c>
      <c r="V23" s="110"/>
      <c r="W23" s="103">
        <v>20000</v>
      </c>
      <c r="X23" s="109">
        <v>0.033</v>
      </c>
      <c r="Y23" s="110"/>
      <c r="Z23" s="103">
        <v>20000</v>
      </c>
      <c r="AA23" s="109">
        <v>0.036</v>
      </c>
      <c r="AB23" s="110"/>
      <c r="AC23" s="103">
        <v>20000</v>
      </c>
      <c r="AD23" s="109">
        <v>0.0385</v>
      </c>
      <c r="AE23" s="110"/>
      <c r="AF23" s="103">
        <v>20000</v>
      </c>
      <c r="AG23" s="109">
        <v>0.0418</v>
      </c>
      <c r="AH23" s="110"/>
      <c r="AI23" s="103">
        <v>20000</v>
      </c>
      <c r="AJ23" s="109">
        <v>0.046</v>
      </c>
      <c r="AK23" s="111"/>
    </row>
    <row r="24" spans="2:37" ht="12.75" customHeight="1">
      <c r="B24" s="103"/>
      <c r="C24" s="112">
        <f>IF(AND(C2&gt;20000,C2&lt;=30000),(C23+(C25-C23)*(C2-B23)/(B25-B23)),0)</f>
        <v>0</v>
      </c>
      <c r="D24" s="112">
        <f>C24</f>
        <v>0</v>
      </c>
      <c r="E24" s="112"/>
      <c r="F24" s="112">
        <f>IF(AND(F2&gt;20000,F2&lt;=30000),(F23+(F25-F23)*(F2-E23)/(E25-E23)),0)</f>
        <v>0</v>
      </c>
      <c r="G24" s="112">
        <f>F24</f>
        <v>0</v>
      </c>
      <c r="H24" s="112"/>
      <c r="I24" s="112">
        <f>IF(AND(I2&gt;20000,I2&lt;=30000),(I23+(I25-I23)*(I2-H23)/(H25-H23)),0)</f>
        <v>0</v>
      </c>
      <c r="J24" s="112">
        <f>I24</f>
        <v>0</v>
      </c>
      <c r="K24" s="112"/>
      <c r="L24" s="112">
        <f>IF(AND(L2&gt;20000,L2&lt;=30000),(L23+(L25-L23)*(L2-K23)/(K25-K23)),0)</f>
        <v>0</v>
      </c>
      <c r="M24" s="112">
        <f>L24</f>
        <v>0</v>
      </c>
      <c r="N24" s="112"/>
      <c r="O24" s="112">
        <f>IF(AND(O2&gt;20000,O2&lt;=30000),(O23+(O25-O23)*(O2-N23)/(N25-N23)),0)</f>
        <v>0</v>
      </c>
      <c r="P24" s="112">
        <f>O24</f>
        <v>0</v>
      </c>
      <c r="Q24" s="112"/>
      <c r="R24" s="112">
        <f>IF(AND(R2&gt;20000,R2&lt;=30000),(R23+(R25-R23)*(R2-Q23)/(Q25-Q23)),0)</f>
        <v>0</v>
      </c>
      <c r="S24" s="112">
        <f>R24</f>
        <v>0</v>
      </c>
      <c r="T24" s="112"/>
      <c r="U24" s="112">
        <f>IF(AND(U2&gt;20000,U2&lt;=30000),(U23+(U25-U23)*(U2-T23)/(T25-T23)),0)</f>
        <v>0</v>
      </c>
      <c r="V24" s="112">
        <f>U24</f>
        <v>0</v>
      </c>
      <c r="W24" s="112"/>
      <c r="X24" s="112">
        <f>IF(AND(X2&gt;20000,X2&lt;=30000),(X23+(X25-X23)*(X2-W23)/(W25-W23)),0)</f>
        <v>0</v>
      </c>
      <c r="Y24" s="112">
        <f>X24</f>
        <v>0</v>
      </c>
      <c r="Z24" s="112"/>
      <c r="AA24" s="112">
        <f>IF(AND(AA2&gt;20000,AA2&lt;=30000),(AA23+(AA25-AA23)*(AA2-Z23)/(Z25-Z23)),0)</f>
        <v>0</v>
      </c>
      <c r="AB24" s="112">
        <f>AA24</f>
        <v>0</v>
      </c>
      <c r="AC24" s="112"/>
      <c r="AD24" s="112">
        <f>IF(AND(AD2&gt;20000,AD2&lt;=30000),(AD23+(AD25-AD23)*(AD2-AC23)/(AC25-AC23)),0)</f>
        <v>0</v>
      </c>
      <c r="AE24" s="112">
        <f>AD24</f>
        <v>0</v>
      </c>
      <c r="AF24" s="112"/>
      <c r="AG24" s="112">
        <f>IF(AND(AG2&gt;20000,AG2&lt;=30000),(AG23+(AG25-AG23)*(AG2-AF23)/(AF25-AF23)),0)</f>
        <v>0</v>
      </c>
      <c r="AH24" s="112">
        <f>AG24</f>
        <v>0</v>
      </c>
      <c r="AI24" s="112"/>
      <c r="AJ24" s="112">
        <f>IF(AND(AJ2&gt;20000,AJ2&lt;=30000),(AJ23+(AJ25-AJ23)*(AJ2-AI23)/(AI25-AI23)),0)</f>
        <v>0</v>
      </c>
      <c r="AK24" s="112">
        <f>AJ24</f>
        <v>0</v>
      </c>
    </row>
    <row r="25" spans="2:37" ht="12.75" customHeight="1">
      <c r="B25" s="103">
        <v>30000</v>
      </c>
      <c r="C25" s="109">
        <v>0.0235</v>
      </c>
      <c r="D25" s="110"/>
      <c r="E25" s="103">
        <v>30000</v>
      </c>
      <c r="F25" s="109">
        <v>0.0243</v>
      </c>
      <c r="G25" s="110"/>
      <c r="H25" s="103">
        <v>30000</v>
      </c>
      <c r="I25" s="109">
        <v>0.0248</v>
      </c>
      <c r="J25" s="110"/>
      <c r="K25" s="103">
        <v>30000</v>
      </c>
      <c r="L25" s="109">
        <v>0.0255</v>
      </c>
      <c r="M25" s="110"/>
      <c r="N25" s="103">
        <v>30000</v>
      </c>
      <c r="O25" s="109">
        <v>0.0257</v>
      </c>
      <c r="P25" s="110"/>
      <c r="Q25" s="103">
        <v>30000</v>
      </c>
      <c r="R25" s="109">
        <v>0.0262</v>
      </c>
      <c r="S25" s="110"/>
      <c r="T25" s="103">
        <v>30000</v>
      </c>
      <c r="U25" s="109">
        <v>0.028</v>
      </c>
      <c r="V25" s="110"/>
      <c r="W25" s="103">
        <v>30000</v>
      </c>
      <c r="X25" s="109">
        <v>0.0318</v>
      </c>
      <c r="Y25" s="110"/>
      <c r="Z25" s="103">
        <v>30000</v>
      </c>
      <c r="AA25" s="109">
        <v>0.0349</v>
      </c>
      <c r="AB25" s="110"/>
      <c r="AC25" s="103">
        <v>30000</v>
      </c>
      <c r="AD25" s="109">
        <v>0.0377</v>
      </c>
      <c r="AE25" s="110"/>
      <c r="AF25" s="103">
        <v>30000</v>
      </c>
      <c r="AG25" s="109">
        <v>0.04</v>
      </c>
      <c r="AH25" s="110"/>
      <c r="AI25" s="103">
        <v>30000</v>
      </c>
      <c r="AJ25" s="109">
        <v>0.0455</v>
      </c>
      <c r="AK25" s="111"/>
    </row>
    <row r="26" spans="2:37" ht="12.75" customHeight="1">
      <c r="B26" s="103"/>
      <c r="C26" s="112">
        <f>IF(AND(C2&gt;30000,C2&lt;=40000),(C25+(C27-C25)*(C2-B25)/(B27-B25)),0)</f>
        <v>0</v>
      </c>
      <c r="D26" s="112">
        <f>C26</f>
        <v>0</v>
      </c>
      <c r="E26" s="112"/>
      <c r="F26" s="112">
        <f>IF(AND(F2&gt;30000,F2&lt;=40000),(F25+(F27-F25)*(F2-E25)/(E27-E25)),0)</f>
        <v>0</v>
      </c>
      <c r="G26" s="112">
        <f>F26</f>
        <v>0</v>
      </c>
      <c r="H26" s="112"/>
      <c r="I26" s="112">
        <f>IF(AND(I2&gt;30000,I2&lt;=40000),(I25+(I27-I25)*(I2-H25)/(H27-H25)),0)</f>
        <v>0</v>
      </c>
      <c r="J26" s="112">
        <f>I26</f>
        <v>0</v>
      </c>
      <c r="K26" s="112"/>
      <c r="L26" s="112">
        <f>IF(AND(L2&gt;30000,L2&lt;=40000),(L25+(L27-L25)*(L2-K25)/(K27-K25)),0)</f>
        <v>0</v>
      </c>
      <c r="M26" s="112">
        <f>L26</f>
        <v>0</v>
      </c>
      <c r="N26" s="112"/>
      <c r="O26" s="112">
        <f>IF(AND(O2&gt;30000,O2&lt;=40000),(O25+(O27-O25)*(O2-N25)/(N27-N25)),0)</f>
        <v>0</v>
      </c>
      <c r="P26" s="112">
        <f>O26</f>
        <v>0</v>
      </c>
      <c r="Q26" s="112"/>
      <c r="R26" s="112">
        <f>IF(AND(R2&gt;30000,R2&lt;=40000),(R25+(R27-R25)*(R2-Q25)/(Q27-Q25)),0)</f>
        <v>0</v>
      </c>
      <c r="S26" s="112">
        <f>R26</f>
        <v>0</v>
      </c>
      <c r="T26" s="112"/>
      <c r="U26" s="112">
        <f>IF(AND(U2&gt;30000,U2&lt;=40000),(U25+(U27-U25)*(U2-T25)/(T27-T25)),0)</f>
        <v>0</v>
      </c>
      <c r="V26" s="112">
        <f>U26</f>
        <v>0</v>
      </c>
      <c r="W26" s="112"/>
      <c r="X26" s="112">
        <f>IF(AND(X2&gt;30000,X2&lt;=40000),(X25+(X27-X25)*(X2-W25)/(W27-W25)),0)</f>
        <v>0</v>
      </c>
      <c r="Y26" s="112">
        <f>X26</f>
        <v>0</v>
      </c>
      <c r="Z26" s="112"/>
      <c r="AA26" s="112">
        <f>IF(AND(AA2&gt;30000,AA2&lt;=40000),(AA25+(AA27-AA25)*(AA2-Z25)/(Z27-Z25)),0)</f>
        <v>0</v>
      </c>
      <c r="AB26" s="112">
        <f>AA26</f>
        <v>0</v>
      </c>
      <c r="AC26" s="112"/>
      <c r="AD26" s="112">
        <f>IF(AND(AD2&gt;30000,AD2&lt;=40000),(AD25+(AD27-AD25)*(AD2-AC25)/(AC27-AC25)),0)</f>
        <v>0</v>
      </c>
      <c r="AE26" s="112">
        <f>AD26</f>
        <v>0</v>
      </c>
      <c r="AF26" s="112"/>
      <c r="AG26" s="112">
        <f>IF(AND(AG2&gt;30000,AG2&lt;=40000),(AG25+(AG27-AG25)*(AG2-AF25)/(AF27-AF25)),0)</f>
        <v>0</v>
      </c>
      <c r="AH26" s="112">
        <f>AG26</f>
        <v>0</v>
      </c>
      <c r="AI26" s="112"/>
      <c r="AJ26" s="112">
        <f>IF(AND(AJ2&gt;30000,AJ2&lt;=40000),(AJ25+(AJ27-AJ25)*(AJ2-AI25)/(AI27-AI25)),0)</f>
        <v>0</v>
      </c>
      <c r="AK26" s="112">
        <f>AJ26</f>
        <v>0</v>
      </c>
    </row>
    <row r="27" spans="2:37" ht="12.75" customHeight="1">
      <c r="B27" s="103">
        <v>40000</v>
      </c>
      <c r="C27" s="109">
        <v>0.0225</v>
      </c>
      <c r="D27" s="110"/>
      <c r="E27" s="103">
        <v>40000</v>
      </c>
      <c r="F27" s="109">
        <v>0.0228</v>
      </c>
      <c r="G27" s="110"/>
      <c r="H27" s="103">
        <v>40000</v>
      </c>
      <c r="I27" s="109">
        <v>0.0235</v>
      </c>
      <c r="J27" s="110"/>
      <c r="K27" s="103">
        <v>40000</v>
      </c>
      <c r="L27" s="109">
        <v>0.024</v>
      </c>
      <c r="M27" s="110"/>
      <c r="N27" s="103">
        <v>40000</v>
      </c>
      <c r="O27" s="109">
        <v>0.0246</v>
      </c>
      <c r="P27" s="110"/>
      <c r="Q27" s="103">
        <v>40000</v>
      </c>
      <c r="R27" s="109">
        <v>0.025</v>
      </c>
      <c r="S27" s="110"/>
      <c r="T27" s="103">
        <v>40000</v>
      </c>
      <c r="U27" s="109">
        <v>0.0272</v>
      </c>
      <c r="V27" s="110"/>
      <c r="W27" s="103">
        <v>40000</v>
      </c>
      <c r="X27" s="109">
        <v>0.031</v>
      </c>
      <c r="Y27" s="110"/>
      <c r="Z27" s="103">
        <v>40000</v>
      </c>
      <c r="AA27" s="109">
        <v>0.034</v>
      </c>
      <c r="AB27" s="110"/>
      <c r="AC27" s="103">
        <v>40000</v>
      </c>
      <c r="AD27" s="109">
        <v>0.0372</v>
      </c>
      <c r="AE27" s="110"/>
      <c r="AF27" s="103">
        <v>40000</v>
      </c>
      <c r="AG27" s="109">
        <v>0.0396</v>
      </c>
      <c r="AH27" s="110"/>
      <c r="AI27" s="103">
        <v>40000</v>
      </c>
      <c r="AJ27" s="109">
        <v>0.0451</v>
      </c>
      <c r="AK27" s="111"/>
    </row>
    <row r="28" spans="2:37" ht="12.75" customHeight="1">
      <c r="B28" s="103"/>
      <c r="C28" s="112">
        <f>IF(AND(C2&gt;40000,C2&lt;=50000),(C27+(C29-C27)*(C2-B27)/(B29-B27)),0)</f>
        <v>0</v>
      </c>
      <c r="D28" s="112">
        <f>C28</f>
        <v>0</v>
      </c>
      <c r="E28" s="103"/>
      <c r="F28" s="112">
        <f>IF(AND(F2&gt;40000,F2&lt;=50000),(F27+(F29-F27)*(F2-E27)/(E29-E27)),0)</f>
        <v>0</v>
      </c>
      <c r="G28" s="112">
        <f>F28</f>
        <v>0</v>
      </c>
      <c r="H28" s="103"/>
      <c r="I28" s="112">
        <f>IF(AND(I2&gt;40000,I2&lt;=50000),(I27+(I29-I27)*(I2-H27)/(H29-H27)),0)</f>
        <v>0</v>
      </c>
      <c r="J28" s="112">
        <f>I28</f>
        <v>0</v>
      </c>
      <c r="K28" s="103"/>
      <c r="L28" s="112">
        <f>IF(AND(L2&gt;40000,L2&lt;=50000),(L27+(L29-L27)*(L2-K27)/(K29-K27)),0)</f>
        <v>0</v>
      </c>
      <c r="M28" s="112">
        <f>L28</f>
        <v>0</v>
      </c>
      <c r="N28" s="103"/>
      <c r="O28" s="112">
        <f>IF(AND(O2&gt;40000,O2&lt;=50000),(O27+(O29-O27)*(O2-N27)/(N29-N27)),0)</f>
        <v>0</v>
      </c>
      <c r="P28" s="112">
        <f>O28</f>
        <v>0</v>
      </c>
      <c r="Q28" s="103"/>
      <c r="R28" s="112">
        <f>IF(AND(R2&gt;40000,R2&lt;=50000),(R27+(R29-R27)*(R2-Q27)/(Q29-Q27)),0)</f>
        <v>0</v>
      </c>
      <c r="S28" s="112">
        <f>R28</f>
        <v>0</v>
      </c>
      <c r="T28" s="103"/>
      <c r="U28" s="112">
        <f>IF(AND(U2&gt;40000,U2&lt;=50000),(U27+(U29-U27)*(U2-T27)/(T29-T27)),0)</f>
        <v>0</v>
      </c>
      <c r="V28" s="112">
        <f>U28</f>
        <v>0</v>
      </c>
      <c r="W28" s="103"/>
      <c r="X28" s="112">
        <f>IF(AND(X2&gt;40000,X2&lt;=50000),(X27+(X29-X27)*(X2-W27)/(W29-W27)),0)</f>
        <v>0</v>
      </c>
      <c r="Y28" s="112">
        <f>X28</f>
        <v>0</v>
      </c>
      <c r="Z28" s="103"/>
      <c r="AA28" s="112">
        <f>IF(AND(AA2&gt;40000,AA2&lt;=50000),(AA27+(AA29-AA27)*(AA2-Z27)/(Z29-Z27)),0)</f>
        <v>0</v>
      </c>
      <c r="AB28" s="112">
        <f>AA28</f>
        <v>0</v>
      </c>
      <c r="AC28" s="103"/>
      <c r="AD28" s="112">
        <f>IF(AND(AD2&gt;40000,AD2&lt;=50000),(AD27+(AD29-AD27)*(AD2-AC27)/(AC29-AC27)),0)</f>
        <v>0</v>
      </c>
      <c r="AE28" s="112">
        <f>AD28</f>
        <v>0</v>
      </c>
      <c r="AF28" s="103"/>
      <c r="AG28" s="112">
        <f>IF(AND(AG2&gt;40000,AG2&lt;=50000),(AG27+(AG29-AG27)*(AG2-AF27)/(AF29-AF27)),0)</f>
        <v>0</v>
      </c>
      <c r="AH28" s="112">
        <f>AG28</f>
        <v>0</v>
      </c>
      <c r="AI28" s="103"/>
      <c r="AJ28" s="112">
        <f>IF(AND(AJ2&gt;40000,AJ2&lt;=50000),(AJ27+(AJ29-AJ27)*(AJ2-AI27)/(AI29-AI27)),0)</f>
        <v>0</v>
      </c>
      <c r="AK28" s="112">
        <f>AJ28</f>
        <v>0</v>
      </c>
    </row>
    <row r="29" spans="2:37" ht="12.75" customHeight="1">
      <c r="B29" s="103">
        <v>50000</v>
      </c>
      <c r="C29" s="109">
        <v>0.0213</v>
      </c>
      <c r="D29" s="110"/>
      <c r="E29" s="103">
        <v>50000</v>
      </c>
      <c r="F29" s="109">
        <v>0.0219</v>
      </c>
      <c r="G29" s="110"/>
      <c r="H29" s="103">
        <v>50000</v>
      </c>
      <c r="I29" s="109">
        <v>0.0225</v>
      </c>
      <c r="J29" s="110"/>
      <c r="K29" s="103">
        <v>50000</v>
      </c>
      <c r="L29" s="109">
        <v>0.023</v>
      </c>
      <c r="M29" s="110"/>
      <c r="N29" s="103">
        <v>50000</v>
      </c>
      <c r="O29" s="109">
        <v>0.0237</v>
      </c>
      <c r="P29" s="110"/>
      <c r="Q29" s="103">
        <v>50000</v>
      </c>
      <c r="R29" s="109">
        <v>0.0242</v>
      </c>
      <c r="S29" s="110"/>
      <c r="T29" s="103">
        <v>50000</v>
      </c>
      <c r="U29" s="109">
        <v>0.0268</v>
      </c>
      <c r="V29" s="110"/>
      <c r="W29" s="103">
        <v>50000</v>
      </c>
      <c r="X29" s="109">
        <v>0.0304</v>
      </c>
      <c r="Y29" s="110"/>
      <c r="Z29" s="103">
        <v>50000</v>
      </c>
      <c r="AA29" s="109">
        <v>0.0339</v>
      </c>
      <c r="AB29" s="110"/>
      <c r="AC29" s="103">
        <v>50000</v>
      </c>
      <c r="AD29" s="109">
        <v>0.0368</v>
      </c>
      <c r="AE29" s="110"/>
      <c r="AF29" s="103">
        <v>50000</v>
      </c>
      <c r="AG29" s="109">
        <v>0.0393</v>
      </c>
      <c r="AH29" s="110"/>
      <c r="AI29" s="103">
        <v>50000</v>
      </c>
      <c r="AJ29" s="109">
        <v>0.045</v>
      </c>
      <c r="AK29" s="111"/>
    </row>
    <row r="30" spans="2:37" ht="12.75" customHeight="1">
      <c r="B30" s="103"/>
      <c r="C30" s="112">
        <f>IF(AND(C2&gt;50000,C2&lt;=60000),(C29+(C31-C29)*(C2-B29)/(B31-B29)),0)</f>
        <v>0</v>
      </c>
      <c r="D30" s="112">
        <f>C30</f>
        <v>0</v>
      </c>
      <c r="E30" s="103"/>
      <c r="F30" s="112">
        <f>IF(AND(F2&gt;50000,F2&lt;=60000),(F29+(F31-F29)*(F2-E29)/(E31-E29)),0)</f>
        <v>0</v>
      </c>
      <c r="G30" s="112">
        <f>F30</f>
        <v>0</v>
      </c>
      <c r="H30" s="103"/>
      <c r="I30" s="112">
        <f>IF(AND(I2&gt;50000,I2&lt;=60000),(I29+(I31-I29)*(I2-H29)/(H31-H29)),0)</f>
        <v>0</v>
      </c>
      <c r="J30" s="112">
        <f>I30</f>
        <v>0</v>
      </c>
      <c r="K30" s="103"/>
      <c r="L30" s="112">
        <f>IF(AND(L2&gt;50000,L2&lt;=60000),(L29+(L31-L29)*(L2-K29)/(K31-K29)),0)</f>
        <v>0</v>
      </c>
      <c r="M30" s="112">
        <f>L30</f>
        <v>0</v>
      </c>
      <c r="N30" s="103"/>
      <c r="O30" s="112">
        <f>IF(AND(O2&gt;50000,O2&lt;=60000),(O29+(O31-O29)*(O2-N29)/(N31-N29)),0)</f>
        <v>0</v>
      </c>
      <c r="P30" s="112">
        <f>O30</f>
        <v>0</v>
      </c>
      <c r="Q30" s="103"/>
      <c r="R30" s="112">
        <f>IF(AND(R2&gt;50000,R2&lt;=60000),(R29+(R31-R29)*(R2-Q29)/(Q31-Q29)),0)</f>
        <v>0</v>
      </c>
      <c r="S30" s="112">
        <f>R30</f>
        <v>0</v>
      </c>
      <c r="T30" s="103"/>
      <c r="U30" s="112">
        <f>IF(AND(U2&gt;50000,U2&lt;=60000),(U29+(U31-U29)*(U2-T29)/(T31-T29)),0)</f>
        <v>0</v>
      </c>
      <c r="V30" s="112">
        <f>U30</f>
        <v>0</v>
      </c>
      <c r="W30" s="103"/>
      <c r="X30" s="112">
        <f>IF(AND(X2&gt;50000,X2&lt;=60000),(X29+(X31-X29)*(X2-W29)/(W31-W29)),0)</f>
        <v>0</v>
      </c>
      <c r="Y30" s="112">
        <f>X30</f>
        <v>0</v>
      </c>
      <c r="Z30" s="103"/>
      <c r="AA30" s="112">
        <f>IF(AND(AA2&gt;50000,AA2&lt;=60000),(AA29+(AA31-AA29)*(AA2-Z29)/(Z31-Z29)),0)</f>
        <v>0</v>
      </c>
      <c r="AB30" s="112">
        <f>AA30</f>
        <v>0</v>
      </c>
      <c r="AC30" s="103"/>
      <c r="AD30" s="112">
        <f>IF(AND(AD2&gt;50000,AD2&lt;=60000),(AD29+(AD31-AD29)*(AD2-AC29)/(AC31-AC29)),0)</f>
        <v>0</v>
      </c>
      <c r="AE30" s="112">
        <f>AD30</f>
        <v>0</v>
      </c>
      <c r="AF30" s="103"/>
      <c r="AG30" s="112">
        <f>IF(AND(AG2&gt;50000,AG2&lt;=60000),(AG29+(AG31-AG29)*(AG2-AF29)/(AF31-AF29)),0)</f>
        <v>0</v>
      </c>
      <c r="AH30" s="112">
        <f>AG30</f>
        <v>0</v>
      </c>
      <c r="AI30" s="103"/>
      <c r="AJ30" s="112">
        <f>IF(AND(AJ2&gt;50000,AJ2&lt;=60000),(AJ29+(AJ31-AJ29)*(AJ2-AI29)/(AI31-AI29)),0)</f>
        <v>0</v>
      </c>
      <c r="AK30" s="112">
        <f>AJ30</f>
        <v>0</v>
      </c>
    </row>
    <row r="31" spans="2:37" ht="12.75" customHeight="1">
      <c r="B31" s="103">
        <v>60000</v>
      </c>
      <c r="C31" s="109">
        <v>0.0205</v>
      </c>
      <c r="D31" s="110"/>
      <c r="E31" s="103">
        <v>60000</v>
      </c>
      <c r="F31" s="109">
        <v>0.021</v>
      </c>
      <c r="G31" s="110"/>
      <c r="H31" s="103">
        <v>60000</v>
      </c>
      <c r="I31" s="109">
        <v>0.0215</v>
      </c>
      <c r="J31" s="110"/>
      <c r="K31" s="103">
        <v>60000</v>
      </c>
      <c r="L31" s="109">
        <v>0.0225</v>
      </c>
      <c r="M31" s="110"/>
      <c r="N31" s="103">
        <v>60000</v>
      </c>
      <c r="O31" s="109">
        <v>0.023</v>
      </c>
      <c r="P31" s="110"/>
      <c r="Q31" s="103">
        <v>60000</v>
      </c>
      <c r="R31" s="109">
        <v>0.0237</v>
      </c>
      <c r="S31" s="110"/>
      <c r="T31" s="103">
        <v>60000</v>
      </c>
      <c r="U31" s="109">
        <v>0.0263</v>
      </c>
      <c r="V31" s="110"/>
      <c r="W31" s="103">
        <v>60000</v>
      </c>
      <c r="X31" s="109">
        <v>0.0301</v>
      </c>
      <c r="Y31" s="110"/>
      <c r="Z31" s="103">
        <v>60000</v>
      </c>
      <c r="AA31" s="109">
        <v>0.0336</v>
      </c>
      <c r="AB31" s="110"/>
      <c r="AC31" s="103">
        <v>60000</v>
      </c>
      <c r="AD31" s="109">
        <v>0.0365</v>
      </c>
      <c r="AE31" s="110"/>
      <c r="AF31" s="103">
        <v>60000</v>
      </c>
      <c r="AG31" s="109">
        <v>0.0391</v>
      </c>
      <c r="AH31" s="110"/>
      <c r="AI31" s="103">
        <v>60000</v>
      </c>
      <c r="AJ31" s="109">
        <v>0.0448</v>
      </c>
      <c r="AK31" s="111"/>
    </row>
    <row r="32" spans="2:37" ht="12.75" customHeight="1">
      <c r="B32" s="103"/>
      <c r="C32" s="112">
        <f>IF(AND(C2&gt;60000,C2&lt;=70000),(C31+(C33-C31)*(C2-B31)/(B33-B31)),0)</f>
        <v>0</v>
      </c>
      <c r="D32" s="112">
        <f>C32</f>
        <v>0</v>
      </c>
      <c r="E32" s="103"/>
      <c r="F32" s="112">
        <f>IF(AND(F2&gt;60000,F2&lt;=70000),(F31+(F33-F31)*(F2-E31)/(E33-E31)),0)</f>
        <v>0</v>
      </c>
      <c r="G32" s="112">
        <f>F32</f>
        <v>0</v>
      </c>
      <c r="H32" s="103"/>
      <c r="I32" s="112">
        <f>IF(AND(I2&gt;60000,I2&lt;=70000),(I31+(I33-I31)*(I2-H31)/(H33-H31)),0)</f>
        <v>0</v>
      </c>
      <c r="J32" s="112">
        <f>I32</f>
        <v>0</v>
      </c>
      <c r="K32" s="103"/>
      <c r="L32" s="112">
        <f>IF(AND(L2&gt;60000,L2&lt;=70000),(L31+(L33-L31)*(L2-K31)/(K33-K31)),0)</f>
        <v>0</v>
      </c>
      <c r="M32" s="112">
        <f>L32</f>
        <v>0</v>
      </c>
      <c r="N32" s="103"/>
      <c r="O32" s="112">
        <f>IF(AND(O2&gt;60000,O2&lt;=70000),(O31+(O33-O31)*(O2-N31)/(N33-N31)),0)</f>
        <v>0</v>
      </c>
      <c r="P32" s="112">
        <f>O32</f>
        <v>0</v>
      </c>
      <c r="Q32" s="103"/>
      <c r="R32" s="112">
        <f>IF(AND(R2&gt;60000,R2&lt;=70000),(R31+(R33-R31)*(R2-Q31)/(Q33-Q31)),0)</f>
        <v>0</v>
      </c>
      <c r="S32" s="112">
        <f>R32</f>
        <v>0</v>
      </c>
      <c r="T32" s="103"/>
      <c r="U32" s="112">
        <f>IF(AND(U2&gt;60000,U2&lt;=70000),(U31+(U33-U31)*(U2-T31)/(T33-T31)),0)</f>
        <v>0</v>
      </c>
      <c r="V32" s="112">
        <f>U32</f>
        <v>0</v>
      </c>
      <c r="W32" s="103"/>
      <c r="X32" s="112">
        <f>IF(AND(X2&gt;60000,X2&lt;=70000),(X31+(X33-X31)*(X2-W31)/(W33-W31)),0)</f>
        <v>0</v>
      </c>
      <c r="Y32" s="112">
        <f>X32</f>
        <v>0</v>
      </c>
      <c r="Z32" s="103"/>
      <c r="AA32" s="112">
        <f>IF(AND(AA2&gt;60000,AA2&lt;=70000),(AA31+(AA33-AA31)*(AA2-Z31)/(Z33-Z31)),0)</f>
        <v>0</v>
      </c>
      <c r="AB32" s="112">
        <f>AA32</f>
        <v>0</v>
      </c>
      <c r="AC32" s="103"/>
      <c r="AD32" s="112">
        <f>IF(AND(AD2&gt;60000,AD2&lt;=70000),(AD31+(AD33-AD31)*(AD2-AC31)/(AC33-AC31)),0)</f>
        <v>0</v>
      </c>
      <c r="AE32" s="112">
        <f>AD32</f>
        <v>0</v>
      </c>
      <c r="AF32" s="103"/>
      <c r="AG32" s="112">
        <f>IF(AND(AG2&gt;60000,AG2&lt;=70000),(AG31+(AG33-AG31)*(AG2-AF31)/(AF33-AF31)),0)</f>
        <v>0</v>
      </c>
      <c r="AH32" s="112">
        <f>AG32</f>
        <v>0</v>
      </c>
      <c r="AI32" s="103"/>
      <c r="AJ32" s="112">
        <f>IF(AND(AJ2&gt;60000,AJ2&lt;=70000),(AJ31+(AJ33-AJ31)*(AJ2-AI31)/(AI33-AI31)),0)</f>
        <v>0</v>
      </c>
      <c r="AK32" s="112">
        <f>AJ32</f>
        <v>0</v>
      </c>
    </row>
    <row r="33" spans="2:37" ht="12.75" customHeight="1">
      <c r="B33" s="103">
        <v>70000</v>
      </c>
      <c r="C33" s="109">
        <v>0.0198</v>
      </c>
      <c r="D33" s="110"/>
      <c r="E33" s="103">
        <v>70000</v>
      </c>
      <c r="F33" s="109">
        <v>0.0205</v>
      </c>
      <c r="G33" s="110"/>
      <c r="H33" s="103">
        <v>70000</v>
      </c>
      <c r="I33" s="109">
        <v>0.0212</v>
      </c>
      <c r="J33" s="110"/>
      <c r="K33" s="103">
        <v>70000</v>
      </c>
      <c r="L33" s="109">
        <v>0.0219</v>
      </c>
      <c r="M33" s="110"/>
      <c r="N33" s="103">
        <v>70000</v>
      </c>
      <c r="O33" s="109">
        <v>0.0227</v>
      </c>
      <c r="P33" s="110"/>
      <c r="Q33" s="103">
        <v>70000</v>
      </c>
      <c r="R33" s="109">
        <v>0.023</v>
      </c>
      <c r="S33" s="110"/>
      <c r="T33" s="103">
        <v>70000</v>
      </c>
      <c r="U33" s="109">
        <v>0.026</v>
      </c>
      <c r="V33" s="110"/>
      <c r="W33" s="103">
        <v>70000</v>
      </c>
      <c r="X33" s="109">
        <v>0.03</v>
      </c>
      <c r="Y33" s="110"/>
      <c r="Z33" s="103">
        <v>70000</v>
      </c>
      <c r="AA33" s="109">
        <v>0.0334</v>
      </c>
      <c r="AB33" s="110"/>
      <c r="AC33" s="103">
        <v>70000</v>
      </c>
      <c r="AD33" s="109">
        <v>0.0363</v>
      </c>
      <c r="AE33" s="110"/>
      <c r="AF33" s="103">
        <v>70000</v>
      </c>
      <c r="AG33" s="109">
        <v>0.0389</v>
      </c>
      <c r="AH33" s="110"/>
      <c r="AI33" s="103">
        <v>70000</v>
      </c>
      <c r="AJ33" s="109">
        <v>0.0445</v>
      </c>
      <c r="AK33" s="111"/>
    </row>
    <row r="34" spans="2:37" ht="12.75" customHeight="1">
      <c r="B34" s="103"/>
      <c r="C34" s="112">
        <f>IF(AND(C2&gt;70000,C2&lt;=80000),(C33+(C35-C33)*(C2-B33)/(B35-B33)),0)</f>
        <v>0.019676882872083013</v>
      </c>
      <c r="D34" s="112">
        <f>C34</f>
        <v>0.019676882872083013</v>
      </c>
      <c r="E34" s="103"/>
      <c r="F34" s="112">
        <f>IF(AND(F2&gt;70000,F2&lt;=80000),(F33+(F35-F33)*(F2-E33)/(E35-E33)),0)</f>
        <v>0.02029480478680502</v>
      </c>
      <c r="G34" s="112">
        <f>F34</f>
        <v>0.02029480478680502</v>
      </c>
      <c r="H34" s="103"/>
      <c r="I34" s="112">
        <f>IF(AND(I2&gt;70000,I2&lt;=80000),(I33+(I35-I33)*(I2-H33)/(H35-H33)),0)</f>
        <v>0.021035843829444015</v>
      </c>
      <c r="J34" s="112">
        <f>I34</f>
        <v>0.021035843829444015</v>
      </c>
      <c r="K34" s="103"/>
      <c r="L34" s="112">
        <f>IF(AND(L2&gt;70000,L2&lt;=80000),(L33+(L35-L33)*(L2-K33)/(K35-K33)),0)</f>
        <v>0.021735843829444015</v>
      </c>
      <c r="M34" s="112">
        <f>L34</f>
        <v>0.021735843829444015</v>
      </c>
      <c r="N34" s="103"/>
      <c r="O34" s="112">
        <f>IF(AND(O2&gt;70000,O2&lt;=80000),(O33+(O35-O33)*(O2-N33)/(N35-N33)),0)</f>
        <v>0.02249480478680502</v>
      </c>
      <c r="P34" s="112">
        <f>O34</f>
        <v>0.02249480478680502</v>
      </c>
      <c r="Q34" s="103"/>
      <c r="R34" s="112">
        <f>IF(AND(R2&gt;70000,R2&lt;=80000),(R33+(R35-R33)*(R2-Q33)/(Q35-Q33)),0)</f>
        <v>0.022917921914722007</v>
      </c>
      <c r="S34" s="112">
        <f>R34</f>
        <v>0.022917921914722007</v>
      </c>
      <c r="T34" s="103"/>
      <c r="U34" s="112">
        <f>IF(AND(U2&gt;70000,U2&lt;=80000),(U33+(U35-U33)*(U2-T33)/(T35-T33)),0)</f>
        <v>0.025917921914722006</v>
      </c>
      <c r="V34" s="112">
        <f>U34</f>
        <v>0.025917921914722006</v>
      </c>
      <c r="W34" s="103"/>
      <c r="X34" s="112">
        <f>IF(AND(X2&gt;70000,X2&lt;=80000),(X33+(X35-X33)*(X2-W33)/(W35-W33)),0)</f>
        <v>0.029958960957361003</v>
      </c>
      <c r="Y34" s="112">
        <f>X34</f>
        <v>0.029958960957361003</v>
      </c>
      <c r="Z34" s="103"/>
      <c r="AA34" s="112">
        <f>IF(AND(AA2&gt;70000,AA2&lt;=80000),(AA33+(AA35-AA33)*(AA2-Z33)/(Z35-Z33)),0)</f>
        <v>0.03331792191472201</v>
      </c>
      <c r="AB34" s="112">
        <f>AA34</f>
        <v>0.03331792191472201</v>
      </c>
      <c r="AC34" s="103"/>
      <c r="AD34" s="112">
        <f>IF(AND(AD2&gt;70000,AD2&lt;=80000),(AD33+(AD35-AD33)*(AD2-AC33)/(AC35-AC33)),0)</f>
        <v>0.036258960957361</v>
      </c>
      <c r="AE34" s="112">
        <f>AD34</f>
        <v>0.036258960957361</v>
      </c>
      <c r="AF34" s="103"/>
      <c r="AG34" s="112">
        <f>IF(AND(AG2&gt;70000,AG2&lt;=80000),(AG33+(AG35-AG33)*(AG2-AF33)/(AF35-AF33)),0)</f>
        <v>0.038817921914722005</v>
      </c>
      <c r="AH34" s="112">
        <f>AG34</f>
        <v>0.038817921914722005</v>
      </c>
      <c r="AI34" s="103"/>
      <c r="AJ34" s="112">
        <f>IF(AND(AJ2&gt;70000,AJ2&lt;=80000),(AJ33+(AJ35-AJ33)*(AJ2-AI33)/(AI35-AI33)),0)</f>
        <v>0.04437688287208301</v>
      </c>
      <c r="AK34" s="112">
        <f>AJ34</f>
        <v>0.04437688287208301</v>
      </c>
    </row>
    <row r="35" spans="2:37" ht="12.75" customHeight="1">
      <c r="B35" s="103">
        <v>80000</v>
      </c>
      <c r="C35" s="109">
        <v>0.0195</v>
      </c>
      <c r="D35" s="110"/>
      <c r="E35" s="103">
        <v>80000</v>
      </c>
      <c r="F35" s="109">
        <v>0.02</v>
      </c>
      <c r="G35" s="110"/>
      <c r="H35" s="103">
        <v>80000</v>
      </c>
      <c r="I35" s="109">
        <v>0.0208</v>
      </c>
      <c r="J35" s="110"/>
      <c r="K35" s="103">
        <v>80000</v>
      </c>
      <c r="L35" s="109">
        <v>0.0215</v>
      </c>
      <c r="M35" s="110"/>
      <c r="N35" s="103">
        <v>80000</v>
      </c>
      <c r="O35" s="109">
        <v>0.0222</v>
      </c>
      <c r="P35" s="110"/>
      <c r="Q35" s="103">
        <v>80000</v>
      </c>
      <c r="R35" s="109">
        <v>0.0228</v>
      </c>
      <c r="S35" s="110"/>
      <c r="T35" s="103">
        <v>80000</v>
      </c>
      <c r="U35" s="109">
        <v>0.0258</v>
      </c>
      <c r="V35" s="110"/>
      <c r="W35" s="103">
        <v>80000</v>
      </c>
      <c r="X35" s="109">
        <v>0.0299</v>
      </c>
      <c r="Y35" s="110"/>
      <c r="Z35" s="103">
        <v>80000</v>
      </c>
      <c r="AA35" s="109">
        <v>0.0332</v>
      </c>
      <c r="AB35" s="110"/>
      <c r="AC35" s="103">
        <v>80000</v>
      </c>
      <c r="AD35" s="109">
        <v>0.0362</v>
      </c>
      <c r="AE35" s="110"/>
      <c r="AF35" s="103">
        <v>80000</v>
      </c>
      <c r="AG35" s="109">
        <v>0.0387</v>
      </c>
      <c r="AH35" s="110"/>
      <c r="AI35" s="103">
        <v>80000</v>
      </c>
      <c r="AJ35" s="109">
        <v>0.0442</v>
      </c>
      <c r="AK35" s="111"/>
    </row>
    <row r="36" spans="2:37" ht="12.75" customHeight="1">
      <c r="B36" s="103"/>
      <c r="C36" s="112">
        <f>IF(AND(C2&gt;80000,C2&lt;=90000),(C35+(C37-C35)*(C2-B35)/(B37-B35)),0)</f>
        <v>0</v>
      </c>
      <c r="D36" s="112">
        <f>C36</f>
        <v>0</v>
      </c>
      <c r="E36" s="103"/>
      <c r="F36" s="112">
        <f>IF(AND(F2&gt;80000,F2&lt;=90000),(F35+(F37-F35)*(F2-E35)/(E37-E35)),0)</f>
        <v>0</v>
      </c>
      <c r="G36" s="112">
        <f>F36</f>
        <v>0</v>
      </c>
      <c r="H36" s="103"/>
      <c r="I36" s="112">
        <f>IF(AND(I2&gt;80000,I2&lt;=90000),(I35+(I37-I35)*(I2-H35)/(H37-H35)),0)</f>
        <v>0</v>
      </c>
      <c r="J36" s="112">
        <f>I36</f>
        <v>0</v>
      </c>
      <c r="K36" s="103"/>
      <c r="L36" s="112">
        <f>IF(AND(L2&gt;80000,L2&lt;=90000),(L35+(L37-L35)*(L2-K35)/(K37-K35)),0)</f>
        <v>0</v>
      </c>
      <c r="M36" s="112">
        <f>L36</f>
        <v>0</v>
      </c>
      <c r="N36" s="103"/>
      <c r="O36" s="112">
        <f>IF(AND(O2&gt;80000,O2&lt;=90000),(O35+(O37-O35)*(O2-N35)/(N37-N35)),0)</f>
        <v>0</v>
      </c>
      <c r="P36" s="112">
        <f>O36</f>
        <v>0</v>
      </c>
      <c r="Q36" s="103"/>
      <c r="R36" s="112">
        <f>IF(AND(R2&gt;80000,R2&lt;=90000),(R35+(R37-R35)*(R2-Q35)/(Q37-Q35)),0)</f>
        <v>0</v>
      </c>
      <c r="S36" s="112">
        <f>R36</f>
        <v>0</v>
      </c>
      <c r="T36" s="103"/>
      <c r="U36" s="112">
        <f>IF(AND(U2&gt;80000,U2&lt;=90000),(U35+(U37-U35)*(U2-T35)/(T37-T35)),0)</f>
        <v>0</v>
      </c>
      <c r="V36" s="112">
        <f>U36</f>
        <v>0</v>
      </c>
      <c r="W36" s="103"/>
      <c r="X36" s="112">
        <f>IF(AND(X2&gt;80000,X2&lt;=90000),(X35+(X37-X35)*(X2-W35)/(W37-W35)),0)</f>
        <v>0</v>
      </c>
      <c r="Y36" s="112">
        <f>X36</f>
        <v>0</v>
      </c>
      <c r="Z36" s="103"/>
      <c r="AA36" s="112">
        <f>IF(AND(AA2&gt;80000,AA2&lt;=90000),(AA35+(AA37-AA35)*(AA2-Z35)/(Z37-Z35)),0)</f>
        <v>0</v>
      </c>
      <c r="AB36" s="112">
        <f>AA36</f>
        <v>0</v>
      </c>
      <c r="AC36" s="103"/>
      <c r="AD36" s="112">
        <f>IF(AND(AD2&gt;80000,AD2&lt;=90000),(AD35+(AD37-AD35)*(AD2-AC35)/(AC37-AC35)),0)</f>
        <v>0</v>
      </c>
      <c r="AE36" s="112">
        <f>AD36</f>
        <v>0</v>
      </c>
      <c r="AF36" s="103"/>
      <c r="AG36" s="112">
        <f>IF(AND(AG2&gt;80000,AG2&lt;=90000),(AG35+(AG37-AG35)*(AG2-AF35)/(AF37-AF35)),0)</f>
        <v>0</v>
      </c>
      <c r="AH36" s="112">
        <f>AG36</f>
        <v>0</v>
      </c>
      <c r="AI36" s="103"/>
      <c r="AJ36" s="112">
        <f>IF(AND(AJ2&gt;80000,AJ2&lt;=90000),(AJ35+(AJ37-AJ35)*(AJ2-AI35)/(AI37-AI35)),0)</f>
        <v>0</v>
      </c>
      <c r="AK36" s="112">
        <f>AJ36</f>
        <v>0</v>
      </c>
    </row>
    <row r="37" spans="2:37" ht="12.75" customHeight="1">
      <c r="B37" s="103">
        <v>90000</v>
      </c>
      <c r="C37" s="109">
        <v>0.019</v>
      </c>
      <c r="D37" s="110"/>
      <c r="E37" s="103">
        <v>90000</v>
      </c>
      <c r="F37" s="109">
        <v>0.0195</v>
      </c>
      <c r="G37" s="110"/>
      <c r="H37" s="103">
        <v>90000</v>
      </c>
      <c r="I37" s="109">
        <v>0.0204</v>
      </c>
      <c r="J37" s="110"/>
      <c r="K37" s="103">
        <v>90000</v>
      </c>
      <c r="L37" s="109">
        <v>0.021</v>
      </c>
      <c r="M37" s="110"/>
      <c r="N37" s="103">
        <v>90000</v>
      </c>
      <c r="O37" s="109">
        <v>0.0219</v>
      </c>
      <c r="P37" s="110"/>
      <c r="Q37" s="103">
        <v>90000</v>
      </c>
      <c r="R37" s="109">
        <v>0.0225</v>
      </c>
      <c r="S37" s="110"/>
      <c r="T37" s="103">
        <v>90000</v>
      </c>
      <c r="U37" s="109">
        <v>0.0256</v>
      </c>
      <c r="V37" s="110"/>
      <c r="W37" s="103">
        <v>90000</v>
      </c>
      <c r="X37" s="109">
        <v>0.02985</v>
      </c>
      <c r="Y37" s="110"/>
      <c r="Z37" s="103">
        <v>90000</v>
      </c>
      <c r="AA37" s="109">
        <v>0.033</v>
      </c>
      <c r="AB37" s="110"/>
      <c r="AC37" s="103">
        <v>90000</v>
      </c>
      <c r="AD37" s="109">
        <v>0.0361</v>
      </c>
      <c r="AE37" s="110"/>
      <c r="AF37" s="103">
        <v>90000</v>
      </c>
      <c r="AG37" s="109">
        <v>0.0385</v>
      </c>
      <c r="AH37" s="110"/>
      <c r="AI37" s="103">
        <v>90000</v>
      </c>
      <c r="AJ37" s="109">
        <v>0.0441</v>
      </c>
      <c r="AK37" s="111"/>
    </row>
    <row r="38" spans="2:37" ht="12.75" customHeight="1">
      <c r="B38" s="103"/>
      <c r="C38" s="112">
        <f>IF(AND(C2&gt;90000,C2&lt;=100000),(C37+(C39-C37)*(C2-B37)/(B39-B37)),0)</f>
        <v>0</v>
      </c>
      <c r="D38" s="112">
        <f>C38</f>
        <v>0</v>
      </c>
      <c r="E38" s="103"/>
      <c r="F38" s="112">
        <f>IF(AND(F2&gt;90000,F2&lt;=100000),(F37+(F39-F37)*(F2-E37)/(E39-E37)),0)</f>
        <v>0</v>
      </c>
      <c r="G38" s="112">
        <f>F38</f>
        <v>0</v>
      </c>
      <c r="H38" s="103"/>
      <c r="I38" s="112">
        <f>IF(AND(I2&gt;90000,I2&lt;=100000),(I37+(I39-I37)*(I2-H37)/(H39-H37)),0)</f>
        <v>0</v>
      </c>
      <c r="J38" s="112">
        <f>I38</f>
        <v>0</v>
      </c>
      <c r="K38" s="103"/>
      <c r="L38" s="112">
        <f>IF(AND(L2&gt;90000,L2&lt;=100000),(L37+(L39-L37)*(L2-K37)/(K39-K37)),0)</f>
        <v>0</v>
      </c>
      <c r="M38" s="112">
        <f>L38</f>
        <v>0</v>
      </c>
      <c r="N38" s="103"/>
      <c r="O38" s="112">
        <f>IF(AND(O2&gt;90000,O2&lt;=100000),(O37+(O39-O37)*(O2-N37)/(N39-N37)),0)</f>
        <v>0</v>
      </c>
      <c r="P38" s="112">
        <f>O38</f>
        <v>0</v>
      </c>
      <c r="Q38" s="103"/>
      <c r="R38" s="112">
        <f>IF(AND(R2&gt;90000,R2&lt;=100000),(R37+(R39-R37)*(R2-Q37)/(Q39-Q37)),0)</f>
        <v>0</v>
      </c>
      <c r="S38" s="112">
        <f>R38</f>
        <v>0</v>
      </c>
      <c r="T38" s="103"/>
      <c r="U38" s="112">
        <f>IF(AND(U2&gt;90000,U2&lt;=100000),(U37+(U39-U37)*(U2-T37)/(T39-T37)),0)</f>
        <v>0</v>
      </c>
      <c r="V38" s="112">
        <f>U38</f>
        <v>0</v>
      </c>
      <c r="W38" s="103"/>
      <c r="X38" s="112">
        <f>IF(AND(X2&gt;90000,X2&lt;=100000),(X37+(X39-X37)*(X2-W37)/(W39-W37)),0)</f>
        <v>0</v>
      </c>
      <c r="Y38" s="112">
        <f>X38</f>
        <v>0</v>
      </c>
      <c r="Z38" s="103"/>
      <c r="AA38" s="112">
        <f>IF(AND(AA2&gt;90000,AA2&lt;=100000),(AA37+(AA39-AA37)*(AA2-Z37)/(Z39-Z37)),0)</f>
        <v>0</v>
      </c>
      <c r="AB38" s="112">
        <f>AA38</f>
        <v>0</v>
      </c>
      <c r="AC38" s="103"/>
      <c r="AD38" s="112">
        <f>IF(AND(AD2&gt;90000,AD2&lt;=100000),(AD37+(AD39-AD37)*(AD2-AC37)/(AC39-AC37)),0)</f>
        <v>0</v>
      </c>
      <c r="AE38" s="112">
        <f>AD38</f>
        <v>0</v>
      </c>
      <c r="AF38" s="103"/>
      <c r="AG38" s="112">
        <f>IF(AND(AG2&gt;90000,AG2&lt;=100000),(AG37+(AG39-AG37)*(AG2-AF37)/(AF39-AF37)),0)</f>
        <v>0</v>
      </c>
      <c r="AH38" s="112">
        <f>AG38</f>
        <v>0</v>
      </c>
      <c r="AI38" s="103"/>
      <c r="AJ38" s="112">
        <f>IF(AND(AJ2&gt;90000,AJ2&lt;=100000),(AJ37+(AJ39-AJ37)*(AJ2-AI37)/(AI39-AI37)),0)</f>
        <v>0</v>
      </c>
      <c r="AK38" s="112">
        <f>AJ38</f>
        <v>0</v>
      </c>
    </row>
    <row r="39" spans="2:37" ht="12.75" customHeight="1">
      <c r="B39" s="103">
        <v>100000</v>
      </c>
      <c r="C39" s="109">
        <v>0.0187</v>
      </c>
      <c r="D39" s="110"/>
      <c r="E39" s="103">
        <v>100000</v>
      </c>
      <c r="F39" s="109">
        <v>0.0193</v>
      </c>
      <c r="G39" s="110"/>
      <c r="H39" s="103">
        <v>100000</v>
      </c>
      <c r="I39" s="109">
        <v>0.02</v>
      </c>
      <c r="J39" s="110"/>
      <c r="K39" s="103">
        <v>100000</v>
      </c>
      <c r="L39" s="109">
        <v>0.0209</v>
      </c>
      <c r="M39" s="110"/>
      <c r="N39" s="103">
        <v>100000</v>
      </c>
      <c r="O39" s="109">
        <v>0.0217</v>
      </c>
      <c r="P39" s="110"/>
      <c r="Q39" s="103">
        <v>100000</v>
      </c>
      <c r="R39" s="109">
        <v>0.0222</v>
      </c>
      <c r="S39" s="110"/>
      <c r="T39" s="103">
        <v>100000</v>
      </c>
      <c r="U39" s="109">
        <v>0.0254</v>
      </c>
      <c r="V39" s="110"/>
      <c r="W39" s="103">
        <v>100000</v>
      </c>
      <c r="X39" s="109">
        <v>0.0298</v>
      </c>
      <c r="Y39" s="110"/>
      <c r="Z39" s="103">
        <v>100000</v>
      </c>
      <c r="AA39" s="109">
        <v>0.0328</v>
      </c>
      <c r="AB39" s="110"/>
      <c r="AC39" s="103">
        <v>100000</v>
      </c>
      <c r="AD39" s="109">
        <v>0.036</v>
      </c>
      <c r="AE39" s="110"/>
      <c r="AF39" s="103">
        <v>100000</v>
      </c>
      <c r="AG39" s="109">
        <v>0.0383</v>
      </c>
      <c r="AH39" s="110"/>
      <c r="AI39" s="103">
        <v>100000</v>
      </c>
      <c r="AJ39" s="109">
        <v>0.044</v>
      </c>
      <c r="AK39" s="111"/>
    </row>
    <row r="40" spans="2:37" ht="12.75" customHeight="1">
      <c r="B40" s="103"/>
      <c r="C40" s="112">
        <f>IF(AND(C2&gt;100000,C2&lt;=200000),(C39+(C41-C39)*(C2-B39)/(B41-B39)),0)</f>
        <v>0</v>
      </c>
      <c r="D40" s="112">
        <f>C40</f>
        <v>0</v>
      </c>
      <c r="E40" s="103"/>
      <c r="F40" s="112">
        <f>IF(AND(F2&gt;100000,F2&lt;=200000),(F39+(F41-F39)*(F2-E39)/(E41-E39)),0)</f>
        <v>0</v>
      </c>
      <c r="G40" s="112">
        <f>F40</f>
        <v>0</v>
      </c>
      <c r="H40" s="103"/>
      <c r="I40" s="112">
        <f>IF(AND(I2&gt;100000,I2&lt;=200000),(I39+(I41-I39)*(I2-H39)/(H41-H39)),0)</f>
        <v>0</v>
      </c>
      <c r="J40" s="112">
        <f>I40</f>
        <v>0</v>
      </c>
      <c r="K40" s="103"/>
      <c r="L40" s="112">
        <f>IF(AND(L2&gt;100000,L2&lt;=200000),(L39+(L41-L39)*(L2-K39)/(K41-K39)),0)</f>
        <v>0</v>
      </c>
      <c r="M40" s="112">
        <f>L40</f>
        <v>0</v>
      </c>
      <c r="N40" s="103"/>
      <c r="O40" s="112">
        <f>IF(AND(O2&gt;100000,O2&lt;=200000),(O39+(O41-O39)*(O2-N39)/(N41-N39)),0)</f>
        <v>0</v>
      </c>
      <c r="P40" s="112">
        <f>O40</f>
        <v>0</v>
      </c>
      <c r="Q40" s="103"/>
      <c r="R40" s="112">
        <f>IF(AND(R2&gt;100000,R2&lt;=200000),(R39+(R41-R39)*(R2-Q39)/(Q41-Q39)),0)</f>
        <v>0</v>
      </c>
      <c r="S40" s="112">
        <f>R40</f>
        <v>0</v>
      </c>
      <c r="T40" s="103"/>
      <c r="U40" s="112">
        <f>IF(AND(U2&gt;100000,U2&lt;=200000),(U39+(U41-U39)*(U2-T39)/(T41-T39)),0)</f>
        <v>0</v>
      </c>
      <c r="V40" s="112">
        <f>U40</f>
        <v>0</v>
      </c>
      <c r="W40" s="103"/>
      <c r="X40" s="112">
        <f>IF(AND(X2&gt;100000,X2&lt;=200000),(X39+(X41-X39)*(X2-W39)/(W41-W39)),0)</f>
        <v>0</v>
      </c>
      <c r="Y40" s="112">
        <f>X40</f>
        <v>0</v>
      </c>
      <c r="Z40" s="103"/>
      <c r="AA40" s="112">
        <f>IF(AND(AA2&gt;100000,AA2&lt;=200000),(AA39+(AA41-AA39)*(AA2-Z39)/(Z41-Z39)),0)</f>
        <v>0</v>
      </c>
      <c r="AB40" s="112">
        <f>AA40</f>
        <v>0</v>
      </c>
      <c r="AC40" s="103"/>
      <c r="AD40" s="112">
        <f>IF(AND(AD2&gt;100000,AD2&lt;=200000),(AD39+(AD41-AD39)*(AD2-AC39)/(AC41-AC39)),0)</f>
        <v>0</v>
      </c>
      <c r="AE40" s="112">
        <f>AD40</f>
        <v>0</v>
      </c>
      <c r="AF40" s="112"/>
      <c r="AG40" s="112">
        <f>IF(AND(AG2&gt;100000,AG2&lt;=200000),(AG39+(AG41-AG39)*(AG2-AF39)/(AF41-AF39)),0)</f>
        <v>0</v>
      </c>
      <c r="AH40" s="112">
        <f>AG40</f>
        <v>0</v>
      </c>
      <c r="AI40" s="103"/>
      <c r="AJ40" s="112">
        <f>IF(AJ2&gt;100000,0.044,0)</f>
        <v>0</v>
      </c>
      <c r="AK40" s="112">
        <f>AJ40</f>
        <v>0</v>
      </c>
    </row>
    <row r="41" spans="2:37" ht="12.75" customHeight="1">
      <c r="B41" s="103">
        <v>200000</v>
      </c>
      <c r="C41" s="109">
        <v>0.0166</v>
      </c>
      <c r="D41" s="110"/>
      <c r="E41" s="103">
        <v>200000</v>
      </c>
      <c r="F41" s="109">
        <v>0.0172</v>
      </c>
      <c r="G41" s="110"/>
      <c r="H41" s="103">
        <v>200000</v>
      </c>
      <c r="I41" s="109">
        <v>0.0184</v>
      </c>
      <c r="J41" s="110"/>
      <c r="K41" s="103">
        <v>200000</v>
      </c>
      <c r="L41" s="109">
        <v>0.0193</v>
      </c>
      <c r="M41" s="110"/>
      <c r="N41" s="103">
        <v>200000</v>
      </c>
      <c r="O41" s="109">
        <v>0.0205</v>
      </c>
      <c r="P41" s="110"/>
      <c r="Q41" s="103">
        <v>200000</v>
      </c>
      <c r="R41" s="109">
        <v>0.0211</v>
      </c>
      <c r="S41" s="110"/>
      <c r="T41" s="103">
        <v>200000</v>
      </c>
      <c r="U41" s="109">
        <v>0.0247</v>
      </c>
      <c r="V41" s="110"/>
      <c r="W41" s="103">
        <v>200000</v>
      </c>
      <c r="X41" s="109">
        <v>0.029</v>
      </c>
      <c r="Y41" s="110"/>
      <c r="Z41" s="103">
        <v>200000</v>
      </c>
      <c r="AA41" s="109">
        <v>0.0322</v>
      </c>
      <c r="AB41" s="110"/>
      <c r="AC41" s="103">
        <v>200000</v>
      </c>
      <c r="AD41" s="109">
        <v>0.0358</v>
      </c>
      <c r="AE41" s="110"/>
      <c r="AF41" s="103">
        <v>200000</v>
      </c>
      <c r="AG41" s="109">
        <v>0.03802</v>
      </c>
      <c r="AH41" s="110"/>
      <c r="AI41" s="103"/>
      <c r="AJ41" s="109"/>
      <c r="AK41" s="111"/>
    </row>
    <row r="42" spans="2:37" ht="12.75" customHeight="1">
      <c r="B42" s="103"/>
      <c r="C42" s="112">
        <f>IF(AND(C2&gt;200000,C2&lt;=300000),(C41+(C43-C41)*(C2-B41)/(B43-B41)),0)</f>
        <v>0</v>
      </c>
      <c r="D42" s="112">
        <f>C42</f>
        <v>0</v>
      </c>
      <c r="E42" s="103"/>
      <c r="F42" s="112">
        <f>IF(AND(F2&gt;200000,F2&lt;=300000),(F41+(F43-F41)*(F2-E41)/(E43-E41)),0)</f>
        <v>0</v>
      </c>
      <c r="G42" s="112">
        <f>F42</f>
        <v>0</v>
      </c>
      <c r="H42" s="103"/>
      <c r="I42" s="112">
        <f>IF(AND(I2&gt;200000,I2&lt;=300000),(I41+(I43-I41)*(I2-H41)/(H43-H41)),0)</f>
        <v>0</v>
      </c>
      <c r="J42" s="112">
        <f>I42</f>
        <v>0</v>
      </c>
      <c r="K42" s="103"/>
      <c r="L42" s="112">
        <f>IF(AND(L2&gt;200000,L2&lt;=300000),(L41+(L43-L41)*(L2-K41)/(K43-K41)),0)</f>
        <v>0</v>
      </c>
      <c r="M42" s="112">
        <f>L42</f>
        <v>0</v>
      </c>
      <c r="N42" s="103"/>
      <c r="O42" s="112">
        <f>IF(AND(O2&gt;200000,O2&lt;=300000),(O41+(O43-O41)*(O2-N41)/(N43-N41)),0)</f>
        <v>0</v>
      </c>
      <c r="P42" s="112">
        <f>O42</f>
        <v>0</v>
      </c>
      <c r="Q42" s="103"/>
      <c r="R42" s="112">
        <f>IF(AND(R2&gt;200000,R2&lt;=300000),(R41+(R43-R41)*(R2-Q41)/(Q43-Q41)),0)</f>
        <v>0</v>
      </c>
      <c r="S42" s="112">
        <f>R42</f>
        <v>0</v>
      </c>
      <c r="T42" s="103"/>
      <c r="U42" s="112">
        <f>IF(AND(U2&gt;200000,U2&lt;=300000),(U41+(U43-U41)*(U2-T41)/(T43-T41)),0)</f>
        <v>0</v>
      </c>
      <c r="V42" s="112">
        <f>U42</f>
        <v>0</v>
      </c>
      <c r="W42" s="103"/>
      <c r="X42" s="112">
        <f>IF(AND(X2&gt;200000,X2&lt;=300000),(X41+(X43-X41)*(X2-W41)/(W43-W41)),0)</f>
        <v>0</v>
      </c>
      <c r="Y42" s="112">
        <f>X42</f>
        <v>0</v>
      </c>
      <c r="Z42" s="103"/>
      <c r="AA42" s="112">
        <f>IF(AND(AA2&gt;200000,AA2&lt;=300000),(AA41+(AA43-AA41)*(AA2-Z41)/(Z43-Z41)),0)</f>
        <v>0</v>
      </c>
      <c r="AB42" s="112">
        <f>AA42</f>
        <v>0</v>
      </c>
      <c r="AC42" s="103"/>
      <c r="AD42" s="112">
        <f>IF(AND(AD2&gt;200000,AD2&lt;=300000),(AD41+(AD43-AD41)*(AD2-AC41)/(AC43-AC41)),0)</f>
        <v>0</v>
      </c>
      <c r="AE42" s="112">
        <f>AD42</f>
        <v>0</v>
      </c>
      <c r="AF42" s="103"/>
      <c r="AG42" s="112">
        <f>IF(AND(AG2&gt;200000,AG2&lt;=300000),(AG41+(AG43-AG41)*(AG2-AF41)/(AF43-AF41)),0)</f>
        <v>0</v>
      </c>
      <c r="AH42" s="112">
        <f>AG42</f>
        <v>0</v>
      </c>
      <c r="AI42" s="103"/>
      <c r="AJ42" s="109"/>
      <c r="AK42" s="112"/>
    </row>
    <row r="43" spans="2:37" ht="12.75" customHeight="1">
      <c r="B43" s="103">
        <v>300000</v>
      </c>
      <c r="C43" s="109">
        <v>0.0157</v>
      </c>
      <c r="D43" s="110"/>
      <c r="E43" s="103">
        <v>300000</v>
      </c>
      <c r="F43" s="109">
        <v>0.0162</v>
      </c>
      <c r="G43" s="110"/>
      <c r="H43" s="103">
        <v>300000</v>
      </c>
      <c r="I43" s="109">
        <v>0.0178</v>
      </c>
      <c r="J43" s="110"/>
      <c r="K43" s="103">
        <v>300000</v>
      </c>
      <c r="L43" s="109">
        <v>0.0187</v>
      </c>
      <c r="M43" s="110"/>
      <c r="N43" s="103">
        <v>300000</v>
      </c>
      <c r="O43" s="109">
        <v>0.0198</v>
      </c>
      <c r="P43" s="110"/>
      <c r="Q43" s="103">
        <v>300000</v>
      </c>
      <c r="R43" s="109">
        <v>0.0208</v>
      </c>
      <c r="S43" s="110"/>
      <c r="T43" s="103">
        <v>300000</v>
      </c>
      <c r="U43" s="109">
        <v>0.0243</v>
      </c>
      <c r="V43" s="110"/>
      <c r="W43" s="103">
        <v>300000</v>
      </c>
      <c r="X43" s="109">
        <v>0.0289</v>
      </c>
      <c r="Y43" s="110"/>
      <c r="Z43" s="103">
        <v>300000</v>
      </c>
      <c r="AA43" s="109">
        <v>0.032</v>
      </c>
      <c r="AC43" s="103">
        <v>300000</v>
      </c>
      <c r="AD43" s="109">
        <v>0.0356</v>
      </c>
      <c r="AF43" s="103">
        <v>300000</v>
      </c>
      <c r="AG43" s="109">
        <v>0.038</v>
      </c>
      <c r="AI43" s="103"/>
      <c r="AJ43" s="109"/>
      <c r="AK43" s="111"/>
    </row>
    <row r="44" spans="2:37" ht="12.75" customHeight="1">
      <c r="B44" s="103"/>
      <c r="C44" s="112">
        <f>IF(AND(C2&gt;300000,C2&lt;=400000),(C43+(C45-C43)*(C2-B43)/(B45-B43)),0)</f>
        <v>0</v>
      </c>
      <c r="D44" s="112">
        <f>C44</f>
        <v>0</v>
      </c>
      <c r="E44" s="103"/>
      <c r="F44" s="112">
        <f>IF(AND(F2&gt;300000,F2&lt;=400000),(F43+(F45-F43)*(F2-E43)/(E45-E43)),0)</f>
        <v>0</v>
      </c>
      <c r="G44" s="112">
        <f>F44</f>
        <v>0</v>
      </c>
      <c r="H44" s="103"/>
      <c r="I44" s="112">
        <f>IF(AND(I2&gt;300000,I2&lt;=400000),(I43+(I45-I43)*(I2-H43)/(H45-H43)),0)</f>
        <v>0</v>
      </c>
      <c r="J44" s="112">
        <f>I44</f>
        <v>0</v>
      </c>
      <c r="K44" s="103"/>
      <c r="L44" s="112">
        <f>IF(AND(L2&gt;300000,L2&lt;=400000),(L43+(L45-L43)*(L2-K43)/(K45-K43)),0)</f>
        <v>0</v>
      </c>
      <c r="M44" s="112">
        <f>L44</f>
        <v>0</v>
      </c>
      <c r="N44" s="103"/>
      <c r="O44" s="112">
        <f>IF(AND(O2&gt;300000,O2&lt;=400000),(O43+(O45-O43)*(O2-N43)/(N45-N43)),0)</f>
        <v>0</v>
      </c>
      <c r="P44" s="112">
        <f>O44</f>
        <v>0</v>
      </c>
      <c r="Q44" s="103"/>
      <c r="R44" s="112">
        <f>IF(AND(R2&gt;300000,R2&lt;=400000),(R43+(R45-R43)*(R2-Q43)/(Q45-Q43)),0)</f>
        <v>0</v>
      </c>
      <c r="S44" s="112">
        <f>R44</f>
        <v>0</v>
      </c>
      <c r="T44" s="103"/>
      <c r="U44" s="112">
        <f>IF(AND(U2&gt;300000,U2&lt;=400000),(U43+(U45-U43)*(U2-T43)/(T45-T43)),0)</f>
        <v>0</v>
      </c>
      <c r="V44" s="112">
        <f>U44</f>
        <v>0</v>
      </c>
      <c r="W44" s="103"/>
      <c r="X44" s="112">
        <f>IF(AND(X2&gt;300000,X2&lt;=400000),(X43+(X45-X43)*(X2-W43)/(W45-W43)),0)</f>
        <v>0</v>
      </c>
      <c r="Y44" s="112">
        <f>X44</f>
        <v>0</v>
      </c>
      <c r="Z44" s="103"/>
      <c r="AA44" s="112">
        <f>IF(AA2&gt;300000,0.032,0)</f>
        <v>0</v>
      </c>
      <c r="AB44" s="112">
        <f>AA44</f>
        <v>0</v>
      </c>
      <c r="AC44" s="103"/>
      <c r="AD44" s="112">
        <f>IF(AD2&gt;300000,0.0356,0)</f>
        <v>0</v>
      </c>
      <c r="AE44" s="112">
        <f>AD44</f>
        <v>0</v>
      </c>
      <c r="AF44" s="103"/>
      <c r="AG44" s="112">
        <f>IF(AG2&gt;300000,0.038,0)</f>
        <v>0</v>
      </c>
      <c r="AH44" s="112">
        <f>AG44</f>
        <v>0</v>
      </c>
      <c r="AI44" s="103"/>
      <c r="AJ44" s="109"/>
      <c r="AK44" s="112"/>
    </row>
    <row r="45" spans="2:37" ht="12.75" customHeight="1">
      <c r="B45" s="103">
        <v>400000</v>
      </c>
      <c r="C45" s="109">
        <v>0.0149</v>
      </c>
      <c r="D45" s="110"/>
      <c r="E45" s="103">
        <v>400000</v>
      </c>
      <c r="F45" s="109">
        <v>0.0158</v>
      </c>
      <c r="G45" s="110"/>
      <c r="H45" s="103">
        <v>400000</v>
      </c>
      <c r="I45" s="109">
        <v>0.0172</v>
      </c>
      <c r="J45" s="110"/>
      <c r="K45" s="103">
        <v>400000</v>
      </c>
      <c r="L45" s="109">
        <v>0.0184</v>
      </c>
      <c r="M45" s="110"/>
      <c r="N45" s="103">
        <v>400000</v>
      </c>
      <c r="O45" s="109">
        <v>0.0195</v>
      </c>
      <c r="P45" s="110"/>
      <c r="Q45" s="103">
        <v>400000</v>
      </c>
      <c r="R45" s="109">
        <v>0.0205</v>
      </c>
      <c r="S45" s="110"/>
      <c r="T45" s="103">
        <v>400000</v>
      </c>
      <c r="U45" s="109">
        <v>0.02406</v>
      </c>
      <c r="V45" s="110"/>
      <c r="W45" s="103">
        <v>400000</v>
      </c>
      <c r="X45" s="109">
        <v>0.028706</v>
      </c>
      <c r="Y45" s="110"/>
      <c r="Z45" s="103"/>
      <c r="AA45" s="109"/>
      <c r="AB45" s="110"/>
      <c r="AC45" s="103"/>
      <c r="AD45" s="109"/>
      <c r="AE45" s="110"/>
      <c r="AF45" s="103"/>
      <c r="AG45" s="109"/>
      <c r="AH45" s="110"/>
      <c r="AI45" s="103"/>
      <c r="AJ45" s="109"/>
      <c r="AK45" s="111"/>
    </row>
    <row r="46" spans="2:37" ht="12.75" customHeight="1">
      <c r="B46" s="103"/>
      <c r="C46" s="112">
        <f>IF(AND(C2&gt;400000,C2&lt;=500000),(C45+(C47-C45)*(C2-B45)/(B47-B45)),0)</f>
        <v>0</v>
      </c>
      <c r="D46" s="112">
        <f>C46</f>
        <v>0</v>
      </c>
      <c r="E46" s="103"/>
      <c r="F46" s="112">
        <f>IF(AND(F2&gt;400000,F2&lt;=500000),(F45+(F47-F45)*(F2-E45)/(E47-E45)),0)</f>
        <v>0</v>
      </c>
      <c r="G46" s="112">
        <f>F46</f>
        <v>0</v>
      </c>
      <c r="H46" s="103"/>
      <c r="I46" s="112">
        <f>IF(AND(I2&gt;400000,I2&lt;=500000),(I45+(I47-I45)*(I2-H45)/(H47-H45)),0)</f>
        <v>0</v>
      </c>
      <c r="J46" s="112">
        <f>I46</f>
        <v>0</v>
      </c>
      <c r="K46" s="103"/>
      <c r="L46" s="112">
        <f>IF(AND(L2&gt;400000,L2&lt;=500000),(L45+(L47-L45)*(L2-K45)/(K47-K45)),0)</f>
        <v>0</v>
      </c>
      <c r="M46" s="112">
        <f>L46</f>
        <v>0</v>
      </c>
      <c r="N46" s="103"/>
      <c r="O46" s="112">
        <f>IF(AND(O2&gt;400000,O2&lt;=500000),(O45+(O47-O45)*(O2-N45)/(N47-N45)),0)</f>
        <v>0</v>
      </c>
      <c r="P46" s="112">
        <f>O46</f>
        <v>0</v>
      </c>
      <c r="Q46" s="103"/>
      <c r="R46" s="112">
        <f>IF(AND(R2&gt;400000,R2&lt;=500000),(R45+(R47-R45)*(R2-Q45)/(Q47-Q45)),0)</f>
        <v>0</v>
      </c>
      <c r="S46" s="112">
        <f>R46</f>
        <v>0</v>
      </c>
      <c r="T46" s="103"/>
      <c r="U46" s="112">
        <f>IF(AND(U2&gt;400000,U2&lt;=500000),(U45+(U47-U45)*(U2-T45)/(T47-T45)),0)</f>
        <v>0</v>
      </c>
      <c r="V46" s="112">
        <f>U46</f>
        <v>0</v>
      </c>
      <c r="W46" s="103"/>
      <c r="X46" s="112">
        <f>IF(AND(X2&gt;400000,X2&lt;=500000),(X45+(X47-X45)*(X2-W45)/(W47-W45)),0)</f>
        <v>0</v>
      </c>
      <c r="Y46" s="112">
        <f>X46</f>
        <v>0</v>
      </c>
      <c r="Z46" s="103"/>
      <c r="AA46" s="109"/>
      <c r="AB46" s="112"/>
      <c r="AC46" s="103"/>
      <c r="AD46" s="109"/>
      <c r="AE46" s="112"/>
      <c r="AF46" s="103"/>
      <c r="AG46" s="109"/>
      <c r="AH46" s="112"/>
      <c r="AI46" s="103"/>
      <c r="AJ46" s="109"/>
      <c r="AK46" s="112"/>
    </row>
    <row r="47" spans="2:37" ht="12.75" customHeight="1">
      <c r="B47" s="103">
        <v>500000</v>
      </c>
      <c r="C47" s="109">
        <v>0.0145</v>
      </c>
      <c r="D47" s="110"/>
      <c r="E47" s="103">
        <v>500000</v>
      </c>
      <c r="F47" s="109">
        <v>0.0154</v>
      </c>
      <c r="G47" s="110"/>
      <c r="H47" s="103">
        <v>500000</v>
      </c>
      <c r="I47" s="109">
        <v>0.017</v>
      </c>
      <c r="J47" s="110"/>
      <c r="K47" s="103">
        <v>500000</v>
      </c>
      <c r="L47" s="109">
        <v>0.0182</v>
      </c>
      <c r="M47" s="110"/>
      <c r="N47" s="103">
        <v>500000</v>
      </c>
      <c r="O47" s="109">
        <v>0.0193</v>
      </c>
      <c r="P47" s="110"/>
      <c r="Q47" s="103">
        <v>500000</v>
      </c>
      <c r="R47" s="109">
        <v>0.0203</v>
      </c>
      <c r="S47" s="110"/>
      <c r="T47" s="103">
        <v>500000</v>
      </c>
      <c r="U47" s="109">
        <v>0.02404</v>
      </c>
      <c r="V47" s="110"/>
      <c r="W47" s="103">
        <v>500000</v>
      </c>
      <c r="X47" s="109">
        <v>0.028704</v>
      </c>
      <c r="Y47" s="110"/>
      <c r="Z47" s="103"/>
      <c r="AA47" s="109"/>
      <c r="AB47" s="110"/>
      <c r="AC47" s="103"/>
      <c r="AD47" s="109"/>
      <c r="AE47" s="110"/>
      <c r="AF47" s="103"/>
      <c r="AG47" s="109"/>
      <c r="AH47" s="110"/>
      <c r="AI47" s="103"/>
      <c r="AJ47" s="109"/>
      <c r="AK47" s="111"/>
    </row>
    <row r="48" spans="2:37" ht="12.75" customHeight="1">
      <c r="B48" s="103"/>
      <c r="C48" s="112">
        <f>IF(AND(C2&gt;500000,C2&lt;=600000),(C47+(C49-C47)*(C2-B47)/(B49-B47)),0)</f>
        <v>0</v>
      </c>
      <c r="D48" s="112">
        <f>C48</f>
        <v>0</v>
      </c>
      <c r="E48" s="103"/>
      <c r="F48" s="112">
        <f>IF(AND(F2&gt;500000,F2&lt;=600000),(F47+(F49-F47)*(F2-E47)/(E49-E47)),0)</f>
        <v>0</v>
      </c>
      <c r="G48" s="112">
        <f>F48</f>
        <v>0</v>
      </c>
      <c r="H48" s="103"/>
      <c r="I48" s="112">
        <f>IF(AND(I2&gt;500000,I2&lt;=600000),(I47+(I49-I47)*(I2-H47)/(H49-H47)),0)</f>
        <v>0</v>
      </c>
      <c r="J48" s="112">
        <f>I48</f>
        <v>0</v>
      </c>
      <c r="K48" s="103"/>
      <c r="L48" s="112">
        <f>IF(AND(L2&gt;500000,L2&lt;=600000),(L47+(L49-L47)*(L2-K47)/(K49-K47)),0)</f>
        <v>0</v>
      </c>
      <c r="M48" s="112">
        <f>L48</f>
        <v>0</v>
      </c>
      <c r="N48" s="103"/>
      <c r="O48" s="112">
        <f>IF(AND(O2&gt;500000,O2&lt;=600000),(O47+(O49-O47)*(O2-N47)/(N49-N47)),0)</f>
        <v>0</v>
      </c>
      <c r="P48" s="112">
        <f>O48</f>
        <v>0</v>
      </c>
      <c r="Q48" s="103"/>
      <c r="R48" s="112">
        <f>IF(AND(R2&gt;500000,R2&lt;=600000),(R47+(R49-R47)*(R2-Q47)/(Q49-Q47)),0)</f>
        <v>0</v>
      </c>
      <c r="S48" s="112">
        <f>R48</f>
        <v>0</v>
      </c>
      <c r="T48" s="103"/>
      <c r="U48" s="112">
        <f>IF(AND(U2&gt;500000,U2&lt;=600000),(U47+(U49-U47)*(U2-T47)/(T49-T47)),0)</f>
        <v>0</v>
      </c>
      <c r="V48" s="112">
        <f>U48</f>
        <v>0</v>
      </c>
      <c r="W48" s="103"/>
      <c r="X48" s="112">
        <f>IF(AND(X2&gt;500000,X2&lt;=600000),(X47+(X49-X47)*(X2-W47)/(W49-W47)),0)</f>
        <v>0</v>
      </c>
      <c r="Y48" s="112">
        <f>X48</f>
        <v>0</v>
      </c>
      <c r="Z48" s="103"/>
      <c r="AA48" s="109"/>
      <c r="AB48" s="112"/>
      <c r="AC48" s="103"/>
      <c r="AD48" s="109"/>
      <c r="AE48" s="112"/>
      <c r="AF48" s="103"/>
      <c r="AG48" s="109"/>
      <c r="AH48" s="112"/>
      <c r="AI48" s="103"/>
      <c r="AJ48" s="109"/>
      <c r="AK48" s="112"/>
    </row>
    <row r="49" spans="2:37" ht="12.75" customHeight="1">
      <c r="B49" s="103">
        <v>600000</v>
      </c>
      <c r="C49" s="109">
        <v>0.0142</v>
      </c>
      <c r="D49" s="110"/>
      <c r="E49" s="103">
        <v>600000</v>
      </c>
      <c r="F49" s="109">
        <v>0.0152</v>
      </c>
      <c r="G49" s="110"/>
      <c r="H49" s="103">
        <v>600000</v>
      </c>
      <c r="I49" s="109">
        <v>0.0169</v>
      </c>
      <c r="J49" s="110"/>
      <c r="K49" s="103">
        <v>600000</v>
      </c>
      <c r="L49" s="109">
        <v>0.01805</v>
      </c>
      <c r="M49" s="110"/>
      <c r="N49" s="103">
        <v>600000</v>
      </c>
      <c r="O49" s="109">
        <v>0.0192</v>
      </c>
      <c r="P49" s="110"/>
      <c r="Q49" s="103">
        <v>600000</v>
      </c>
      <c r="R49" s="109">
        <v>0.0201</v>
      </c>
      <c r="S49" s="110"/>
      <c r="T49" s="103">
        <v>600000</v>
      </c>
      <c r="U49" s="109">
        <v>0.02402</v>
      </c>
      <c r="V49" s="110"/>
      <c r="W49" s="103">
        <v>600000</v>
      </c>
      <c r="X49" s="109">
        <v>0.028702</v>
      </c>
      <c r="Y49" s="110"/>
      <c r="Z49" s="103"/>
      <c r="AA49" s="109"/>
      <c r="AB49" s="110"/>
      <c r="AC49" s="103"/>
      <c r="AD49" s="109"/>
      <c r="AE49" s="110"/>
      <c r="AF49" s="103"/>
      <c r="AG49" s="109"/>
      <c r="AH49" s="110"/>
      <c r="AI49" s="103"/>
      <c r="AJ49" s="109"/>
      <c r="AK49" s="111"/>
    </row>
    <row r="50" spans="2:37" ht="12.75" customHeight="1">
      <c r="B50" s="103"/>
      <c r="C50" s="112">
        <f>IF(AND(C2&gt;600000,C2&lt;=700000),(C49+(C51-C49)*(C2-B49)/(B51-B49)),0)</f>
        <v>0</v>
      </c>
      <c r="D50" s="112">
        <f>C50</f>
        <v>0</v>
      </c>
      <c r="E50" s="103"/>
      <c r="F50" s="112">
        <f>IF(AND(F2&gt;600000,F2&lt;=700000),(F49+(F51-F49)*(F2-E49)/(E51-E49)),0)</f>
        <v>0</v>
      </c>
      <c r="G50" s="112">
        <f>F50</f>
        <v>0</v>
      </c>
      <c r="H50" s="103"/>
      <c r="I50" s="112">
        <f>IF(AND(I2&gt;600000,I2&lt;=700000),(I49+(I51-I49)*(I2-H49)/(H51-H49)),0)</f>
        <v>0</v>
      </c>
      <c r="J50" s="112">
        <f>I50</f>
        <v>0</v>
      </c>
      <c r="K50" s="103"/>
      <c r="L50" s="112">
        <f>IF(AND(L2&gt;600000,L2&lt;=700000),(L49+(L51-L49)*(L2-K49)/(K51-K49)),0)</f>
        <v>0</v>
      </c>
      <c r="M50" s="112">
        <f>L50</f>
        <v>0</v>
      </c>
      <c r="N50" s="103"/>
      <c r="O50" s="112">
        <f>IF(AND(O2&gt;600000,O2&lt;=700000),(O49+(O51-O49)*(O2-N49)/(N51-N49)),0)</f>
        <v>0</v>
      </c>
      <c r="P50" s="112">
        <f>O50</f>
        <v>0</v>
      </c>
      <c r="Q50" s="103"/>
      <c r="R50" s="112">
        <f>IF(AND(R2&gt;600000,R2&lt;=700000),(R49+(R51-R49)*(R2-Q49)/(Q51-Q49)),0)</f>
        <v>0</v>
      </c>
      <c r="S50" s="112">
        <f>R50</f>
        <v>0</v>
      </c>
      <c r="T50" s="103"/>
      <c r="U50" s="112">
        <f>IF(AND(U2&gt;600000,U2&lt;=700000),(U49+(U51-U49)*(U2-T49)/(T51-T49)),0)</f>
        <v>0</v>
      </c>
      <c r="V50" s="112">
        <f>U50</f>
        <v>0</v>
      </c>
      <c r="W50" s="103"/>
      <c r="X50" s="112">
        <f>IF(AND(X2&gt;600000,X2&lt;=700000),(X49+(X51-X49)*(X2-W49)/(W51-W49)),0)</f>
        <v>0</v>
      </c>
      <c r="Y50" s="112">
        <f>X50</f>
        <v>0</v>
      </c>
      <c r="Z50" s="103"/>
      <c r="AA50" s="109"/>
      <c r="AB50" s="112"/>
      <c r="AC50" s="103"/>
      <c r="AD50" s="109"/>
      <c r="AE50" s="112"/>
      <c r="AF50" s="103"/>
      <c r="AG50" s="109"/>
      <c r="AH50" s="112"/>
      <c r="AI50" s="103"/>
      <c r="AJ50" s="109"/>
      <c r="AK50" s="112"/>
    </row>
    <row r="51" spans="2:37" ht="12.75" customHeight="1">
      <c r="B51" s="103">
        <v>700000</v>
      </c>
      <c r="C51" s="109">
        <v>0.0139</v>
      </c>
      <c r="D51" s="110"/>
      <c r="E51" s="103">
        <v>700000</v>
      </c>
      <c r="F51" s="109">
        <v>0.015</v>
      </c>
      <c r="G51" s="110"/>
      <c r="H51" s="103">
        <v>700000</v>
      </c>
      <c r="I51" s="109">
        <v>0.0168</v>
      </c>
      <c r="J51" s="110"/>
      <c r="K51" s="103">
        <v>700000</v>
      </c>
      <c r="L51" s="109">
        <v>0.01803</v>
      </c>
      <c r="M51" s="110"/>
      <c r="N51" s="103">
        <v>700000</v>
      </c>
      <c r="O51" s="109">
        <v>0.0191</v>
      </c>
      <c r="P51" s="110"/>
      <c r="Q51" s="103">
        <v>700000</v>
      </c>
      <c r="R51" s="109">
        <v>0.02</v>
      </c>
      <c r="S51" s="110"/>
      <c r="T51" s="103">
        <v>700000</v>
      </c>
      <c r="U51" s="109">
        <v>0.024</v>
      </c>
      <c r="V51" s="110"/>
      <c r="W51" s="103">
        <v>700000</v>
      </c>
      <c r="X51" s="109">
        <v>0.0287</v>
      </c>
      <c r="Y51" s="110"/>
      <c r="Z51" s="103"/>
      <c r="AA51" s="109"/>
      <c r="AB51" s="110"/>
      <c r="AC51" s="103"/>
      <c r="AD51" s="109"/>
      <c r="AE51" s="110"/>
      <c r="AF51" s="103"/>
      <c r="AG51" s="109"/>
      <c r="AH51" s="110"/>
      <c r="AI51" s="103"/>
      <c r="AJ51" s="109"/>
      <c r="AK51" s="111"/>
    </row>
    <row r="52" spans="2:37" ht="12.75" customHeight="1">
      <c r="B52" s="103"/>
      <c r="C52" s="112">
        <f>IF(AND(C2&gt;700000,C2&lt;=800000),(C51+(C53-C51)*(C2-B51)/(B53-B51)),0)</f>
        <v>0</v>
      </c>
      <c r="D52" s="112">
        <f>C52</f>
        <v>0</v>
      </c>
      <c r="E52" s="103"/>
      <c r="F52" s="112">
        <f>IF(AND(F2&gt;700000,F2&lt;=800000),(F51+(F53-F51)*(F2-E51)/(E53-E51)),0)</f>
        <v>0</v>
      </c>
      <c r="G52" s="112">
        <f>F52</f>
        <v>0</v>
      </c>
      <c r="H52" s="103"/>
      <c r="I52" s="112">
        <f>IF(AND(I2&gt;700000,I2&lt;=800000),(I51+(I53-I51)*(I2-H51)/(H53-H51)),0)</f>
        <v>0</v>
      </c>
      <c r="J52" s="112">
        <f>I52</f>
        <v>0</v>
      </c>
      <c r="K52" s="103"/>
      <c r="L52" s="112">
        <f>IF(AND(L2&gt;700000,L2&lt;=800000),(L51+(L53-L51)*(L2-K51)/(K53-K51)),0)</f>
        <v>0</v>
      </c>
      <c r="M52" s="112">
        <f>L52</f>
        <v>0</v>
      </c>
      <c r="N52" s="103"/>
      <c r="O52" s="112">
        <f>IF(AND(O2&gt;700000,O2&lt;=800000),(O51+(O53-O51)*(O2-N51)/(N53-N51)),0)</f>
        <v>0</v>
      </c>
      <c r="P52" s="112">
        <f>O52</f>
        <v>0</v>
      </c>
      <c r="Q52" s="103"/>
      <c r="R52" s="112">
        <f>IF(AND(R2&gt;700000,R2&lt;=800000),(R51+(R53-R51)*(R2-Q51)/(Q53-Q51)),0)</f>
        <v>0</v>
      </c>
      <c r="S52" s="112">
        <f>R52</f>
        <v>0</v>
      </c>
      <c r="T52" s="103"/>
      <c r="U52" s="112">
        <f>IF(AND(U2&gt;700000,U2&lt;=800000),(U51+(U53-U51)*(U2-T51)/(T53-T51)),0)</f>
        <v>0</v>
      </c>
      <c r="V52" s="112">
        <f>U52</f>
        <v>0</v>
      </c>
      <c r="W52" s="103"/>
      <c r="X52" s="112">
        <f>IF(AND(X2&gt;700000,X2&lt;=800000),(X51+(X53-X51)*(X2-W51)/(W53-W51)),0)</f>
        <v>0</v>
      </c>
      <c r="Y52" s="112">
        <f>X52</f>
        <v>0</v>
      </c>
      <c r="Z52" s="103"/>
      <c r="AA52" s="109"/>
      <c r="AB52" s="112"/>
      <c r="AC52" s="103"/>
      <c r="AD52" s="109"/>
      <c r="AE52" s="112"/>
      <c r="AF52" s="103"/>
      <c r="AG52" s="109"/>
      <c r="AH52" s="112"/>
      <c r="AI52" s="103"/>
      <c r="AJ52" s="109"/>
      <c r="AK52" s="112"/>
    </row>
    <row r="53" spans="2:37" ht="12.75" customHeight="1">
      <c r="B53" s="103">
        <v>800000</v>
      </c>
      <c r="C53" s="109">
        <v>0.0137</v>
      </c>
      <c r="D53" s="110"/>
      <c r="E53" s="103">
        <v>800000</v>
      </c>
      <c r="F53" s="109">
        <v>0.0149</v>
      </c>
      <c r="G53" s="110"/>
      <c r="H53" s="103">
        <v>800000</v>
      </c>
      <c r="I53" s="109">
        <v>0.01682</v>
      </c>
      <c r="J53" s="110"/>
      <c r="K53" s="103">
        <v>800000</v>
      </c>
      <c r="L53" s="109">
        <v>0.01802</v>
      </c>
      <c r="M53" s="110"/>
      <c r="N53" s="103">
        <v>800000</v>
      </c>
      <c r="O53" s="109">
        <v>0.01906</v>
      </c>
      <c r="P53" s="110"/>
      <c r="Q53" s="103">
        <v>800000</v>
      </c>
      <c r="R53" s="109">
        <v>0.02002</v>
      </c>
      <c r="S53" s="110"/>
      <c r="T53" s="103">
        <v>800000</v>
      </c>
      <c r="U53" s="109">
        <v>0.0239</v>
      </c>
      <c r="V53" s="110"/>
      <c r="W53" s="103">
        <v>800000</v>
      </c>
      <c r="X53" s="109">
        <v>0.0286</v>
      </c>
      <c r="Y53" s="110"/>
      <c r="Z53" s="103"/>
      <c r="AA53" s="109"/>
      <c r="AB53" s="110"/>
      <c r="AC53" s="103"/>
      <c r="AD53" s="109"/>
      <c r="AE53" s="110"/>
      <c r="AF53" s="103"/>
      <c r="AG53" s="109"/>
      <c r="AH53" s="110"/>
      <c r="AI53" s="103"/>
      <c r="AJ53" s="109"/>
      <c r="AK53" s="111"/>
    </row>
    <row r="54" spans="2:37" ht="12.75" customHeight="1">
      <c r="B54" s="103"/>
      <c r="C54" s="112">
        <f>IF(AND(C2&gt;800000,C2&lt;=900000),(C53+(C55-C53)*(C2-B53)/(B55-B53)),0)</f>
        <v>0</v>
      </c>
      <c r="D54" s="112">
        <f>C54</f>
        <v>0</v>
      </c>
      <c r="E54" s="103"/>
      <c r="F54" s="112">
        <f>IF(AND(F4&gt;700000,F4&lt;=800000),(F53+(F55-F53)*(F4-E53)/(E55-E53)),0)</f>
        <v>0</v>
      </c>
      <c r="G54" s="112">
        <f>F54</f>
        <v>0</v>
      </c>
      <c r="H54" s="103"/>
      <c r="I54" s="112">
        <f>IF(AND(I4&gt;700000,I4&lt;=800000),(I53+(I55-I53)*(I4-H53)/(H55-H53)),0)</f>
        <v>0</v>
      </c>
      <c r="J54" s="112">
        <f>I54</f>
        <v>0</v>
      </c>
      <c r="K54" s="103"/>
      <c r="L54" s="112">
        <f>IF(AND(L4&gt;700000,L4&lt;=800000),(L53+(L55-L53)*(L4-K53)/(K55-K53)),0)</f>
        <v>0</v>
      </c>
      <c r="M54" s="112">
        <f>L54</f>
        <v>0</v>
      </c>
      <c r="N54" s="103"/>
      <c r="O54" s="112">
        <f>IF(AND(O4&gt;700000,O4&lt;=800000),(O53+(O55-O53)*(O4-N53)/(N55-N53)),0)</f>
        <v>0</v>
      </c>
      <c r="P54" s="112">
        <f>O54</f>
        <v>0</v>
      </c>
      <c r="Q54" s="103"/>
      <c r="R54" s="112">
        <f>IF(AND(R4&gt;700000,R4&lt;=800000),(R53+(R55-R53)*(R4-Q53)/(Q55-Q53)),0)</f>
        <v>0</v>
      </c>
      <c r="S54" s="112">
        <f>R54</f>
        <v>0</v>
      </c>
      <c r="T54" s="103"/>
      <c r="U54" s="112">
        <f>IF(AND(U4&gt;700000,U4&lt;=800000),(U53+(U55-U53)*(U4-T53)/(T55-T53)),0)</f>
        <v>0</v>
      </c>
      <c r="V54" s="112">
        <f>U54</f>
        <v>0</v>
      </c>
      <c r="W54" s="103"/>
      <c r="X54" s="112">
        <f>IF(AND(X4&gt;700000,X4&lt;=800000),(X53+(X55-X53)*(X4-W53)/(W55-W53)),0)</f>
        <v>0</v>
      </c>
      <c r="Y54" s="112">
        <f>X54</f>
        <v>0</v>
      </c>
      <c r="Z54" s="103"/>
      <c r="AA54" s="109"/>
      <c r="AB54" s="112"/>
      <c r="AC54" s="103"/>
      <c r="AD54" s="109"/>
      <c r="AE54" s="112"/>
      <c r="AF54" s="103"/>
      <c r="AG54" s="109"/>
      <c r="AH54" s="112"/>
      <c r="AI54" s="103"/>
      <c r="AJ54" s="109"/>
      <c r="AK54" s="112"/>
    </row>
    <row r="55" spans="2:37" ht="12.75" customHeight="1">
      <c r="B55" s="103">
        <v>900000</v>
      </c>
      <c r="C55" s="109">
        <v>0.0136</v>
      </c>
      <c r="D55" s="110"/>
      <c r="E55" s="103">
        <v>900000</v>
      </c>
      <c r="F55" s="109">
        <v>0.01485</v>
      </c>
      <c r="G55" s="110"/>
      <c r="H55" s="103">
        <v>900000</v>
      </c>
      <c r="I55" s="109">
        <v>0.01675</v>
      </c>
      <c r="J55" s="110"/>
      <c r="K55" s="103">
        <v>900000</v>
      </c>
      <c r="L55" s="109">
        <v>0.01801</v>
      </c>
      <c r="M55" s="110"/>
      <c r="N55" s="103">
        <v>900000</v>
      </c>
      <c r="O55" s="109">
        <v>0.01903</v>
      </c>
      <c r="P55" s="110"/>
      <c r="Q55" s="103">
        <v>900000</v>
      </c>
      <c r="R55" s="109">
        <v>0.02001</v>
      </c>
      <c r="S55" s="110"/>
      <c r="T55" s="103">
        <v>900000</v>
      </c>
      <c r="U55" s="109">
        <v>0.02385</v>
      </c>
      <c r="V55" s="110"/>
      <c r="W55" s="103">
        <v>900000</v>
      </c>
      <c r="X55" s="109">
        <v>0.0285</v>
      </c>
      <c r="Y55" s="110"/>
      <c r="Z55" s="103"/>
      <c r="AA55" s="109"/>
      <c r="AB55" s="110"/>
      <c r="AC55" s="103"/>
      <c r="AD55" s="109"/>
      <c r="AE55" s="110"/>
      <c r="AF55" s="103"/>
      <c r="AG55" s="109"/>
      <c r="AH55" s="110"/>
      <c r="AI55" s="103"/>
      <c r="AJ55" s="109"/>
      <c r="AK55" s="111"/>
    </row>
    <row r="56" spans="2:37" ht="12.75" customHeight="1">
      <c r="B56" s="103"/>
      <c r="C56" s="112">
        <f>IF(AND(C2&gt;900000,C2&lt;=1000000),(C55+(C57-C55)*(C2-B55)/(B57-B55)),0)</f>
        <v>0</v>
      </c>
      <c r="D56" s="112">
        <f>C56</f>
        <v>0</v>
      </c>
      <c r="E56" s="103"/>
      <c r="F56" s="112">
        <f>IF(AND(F2&gt;900000,F2&lt;=1000000),(F55+(F57-F55)*(F2-E55)/(E57-E55)),0)</f>
        <v>0</v>
      </c>
      <c r="G56" s="112">
        <f>F56</f>
        <v>0</v>
      </c>
      <c r="H56" s="103"/>
      <c r="I56" s="112">
        <f>IF(AND(I2&gt;900000,I2&lt;=1000000),(I55+(I57-I55)*(I2-H55)/(H57-H55)),0)</f>
        <v>0</v>
      </c>
      <c r="J56" s="112">
        <f>I56</f>
        <v>0</v>
      </c>
      <c r="K56" s="103"/>
      <c r="L56" s="112">
        <f>IF(AND(L2&gt;900000,L2&lt;=1000000),(L55+(L57-L55)*(L2-K55)/(K57-K55)),0)</f>
        <v>0</v>
      </c>
      <c r="M56" s="112">
        <f>L56</f>
        <v>0</v>
      </c>
      <c r="N56" s="103"/>
      <c r="O56" s="112">
        <f>IF(AND(O2&gt;900000,O2&lt;=1000000),(O55+(O57-O55)*(O2-N55)/(N57-N55)),0)</f>
        <v>0</v>
      </c>
      <c r="P56" s="112">
        <f>O56</f>
        <v>0</v>
      </c>
      <c r="Q56" s="103"/>
      <c r="R56" s="112">
        <f>IF(AND(R2&gt;900000,R2&lt;=1000000),(R55+(R57-R55)*(R2-Q55)/(Q57-Q55)),0)</f>
        <v>0</v>
      </c>
      <c r="S56" s="112">
        <f>R56</f>
        <v>0</v>
      </c>
      <c r="T56" s="103"/>
      <c r="U56" s="112">
        <f>IF(AND(U2&gt;900000,U2&lt;=1000000),(U55+(U57-U55)*(U2-T55)/(T57-T55)),0)</f>
        <v>0</v>
      </c>
      <c r="V56" s="112">
        <f>U56</f>
        <v>0</v>
      </c>
      <c r="W56" s="103"/>
      <c r="X56" s="112">
        <f>IF(AND(X2&gt;900000,X2&lt;=1000000),(X55+(X57-X55)*(X2-W55)/(W57-W55)),0)</f>
        <v>0</v>
      </c>
      <c r="Y56" s="112">
        <f>X56</f>
        <v>0</v>
      </c>
      <c r="Z56" s="103"/>
      <c r="AA56" s="109"/>
      <c r="AB56" s="112"/>
      <c r="AC56" s="103"/>
      <c r="AD56" s="109"/>
      <c r="AE56" s="112"/>
      <c r="AF56" s="103"/>
      <c r="AG56" s="109"/>
      <c r="AH56" s="112"/>
      <c r="AI56" s="103"/>
      <c r="AJ56" s="109"/>
      <c r="AK56" s="112"/>
    </row>
    <row r="57" spans="2:37" ht="12.75" customHeight="1">
      <c r="B57" s="103">
        <v>1000000</v>
      </c>
      <c r="C57" s="109">
        <v>0.0135</v>
      </c>
      <c r="D57" s="110"/>
      <c r="E57" s="103">
        <v>1000000</v>
      </c>
      <c r="F57" s="109">
        <v>0.0148</v>
      </c>
      <c r="G57" s="110"/>
      <c r="H57" s="103">
        <v>1000000</v>
      </c>
      <c r="I57" s="109">
        <v>0.0167</v>
      </c>
      <c r="J57" s="110"/>
      <c r="K57" s="103">
        <v>1000000</v>
      </c>
      <c r="L57" s="109">
        <v>0.018</v>
      </c>
      <c r="M57" s="110"/>
      <c r="N57" s="103">
        <v>1000000</v>
      </c>
      <c r="O57" s="109">
        <v>0.019</v>
      </c>
      <c r="P57" s="110"/>
      <c r="Q57" s="103">
        <v>1000000</v>
      </c>
      <c r="R57" s="109">
        <v>0.02</v>
      </c>
      <c r="S57" s="110"/>
      <c r="T57" s="103">
        <v>1000000</v>
      </c>
      <c r="U57" s="109">
        <v>0.02382</v>
      </c>
      <c r="V57" s="110"/>
      <c r="W57" s="103">
        <v>1000000</v>
      </c>
      <c r="X57" s="109">
        <v>0.0284</v>
      </c>
      <c r="Z57" s="103"/>
      <c r="AA57" s="112"/>
      <c r="AB57" s="110"/>
      <c r="AC57" s="103"/>
      <c r="AD57" s="109"/>
      <c r="AE57" s="110"/>
      <c r="AF57" s="103"/>
      <c r="AG57" s="109"/>
      <c r="AH57" s="110"/>
      <c r="AI57" s="103"/>
      <c r="AJ57" s="109"/>
      <c r="AK57" s="111"/>
    </row>
    <row r="58" spans="2:37" ht="12.75" customHeight="1">
      <c r="B58" s="103"/>
      <c r="C58" s="112">
        <f>IF(AND(C2&gt;1000000,C2&lt;=2000000),(C57+(C59-C57)*(C2-B57)/(B59-B57)),0)</f>
        <v>0</v>
      </c>
      <c r="D58" s="112">
        <f>C58</f>
        <v>0</v>
      </c>
      <c r="E58" s="103"/>
      <c r="F58" s="112">
        <f>IF(AND(F2&gt;1000000,F2&lt;=2000000),(F57+(F59-F57)*(F2-E57)/(E59-E57)),0)</f>
        <v>0</v>
      </c>
      <c r="G58" s="112">
        <f>F58</f>
        <v>0</v>
      </c>
      <c r="H58" s="103"/>
      <c r="I58" s="112">
        <f>IF(AND(I2&gt;1000000,I2&lt;=2000000),(I57+(I59-I57)*(I2-H57)/(H59-H57)),0)</f>
        <v>0</v>
      </c>
      <c r="J58" s="112">
        <f>I58</f>
        <v>0</v>
      </c>
      <c r="K58" s="103"/>
      <c r="L58" s="112">
        <f>IF(AND(L2&gt;1000000,L2&lt;=2000000),(L57+(L59-L57)*(L2-K57)/(K59-K57)),0)</f>
        <v>0</v>
      </c>
      <c r="M58" s="112">
        <f>L58</f>
        <v>0</v>
      </c>
      <c r="N58" s="103"/>
      <c r="O58" s="112">
        <f>IF(AND(O2&gt;1000000,O2&lt;=2000000),(O57+(O59-O57)*(O2-N57)/(N59-N57)),0)</f>
        <v>0</v>
      </c>
      <c r="P58" s="112">
        <f>O58</f>
        <v>0</v>
      </c>
      <c r="Q58" s="103"/>
      <c r="R58" s="112">
        <f>IF(AND(R2&gt;1000000,R2&lt;=2000000),(R57+(R59-R57)*(R2-Q57)/(Q59-Q57)),0)</f>
        <v>0</v>
      </c>
      <c r="S58" s="112">
        <f>R58</f>
        <v>0</v>
      </c>
      <c r="T58" s="103"/>
      <c r="U58" s="112">
        <f>IF(AND(U2&gt;1000000,U2&lt;=2000000),(U57+(U59-U57)*(U2-T57)/(T59-T57)),0)</f>
        <v>0</v>
      </c>
      <c r="V58" s="112">
        <f>U58</f>
        <v>0</v>
      </c>
      <c r="W58" s="103"/>
      <c r="X58" s="112">
        <f>IF(X2&gt;1000000,0.0284,0)</f>
        <v>0</v>
      </c>
      <c r="Y58" s="112">
        <f>X58</f>
        <v>0</v>
      </c>
      <c r="Z58" s="103"/>
      <c r="AA58" s="109"/>
      <c r="AB58" s="112"/>
      <c r="AC58" s="103"/>
      <c r="AD58" s="109"/>
      <c r="AE58" s="112"/>
      <c r="AF58" s="103"/>
      <c r="AG58" s="109"/>
      <c r="AH58" s="112"/>
      <c r="AI58" s="103"/>
      <c r="AJ58" s="109"/>
      <c r="AK58" s="112"/>
    </row>
    <row r="59" spans="2:37" ht="12.75" customHeight="1">
      <c r="B59" s="103">
        <v>2000000</v>
      </c>
      <c r="C59" s="109">
        <v>0.0128</v>
      </c>
      <c r="D59" s="110"/>
      <c r="E59" s="103">
        <v>2000000</v>
      </c>
      <c r="F59" s="109">
        <v>0.0144</v>
      </c>
      <c r="G59" s="110"/>
      <c r="H59" s="103">
        <v>2000000</v>
      </c>
      <c r="I59" s="109">
        <v>0.0162</v>
      </c>
      <c r="J59" s="110"/>
      <c r="K59" s="103">
        <v>2000000</v>
      </c>
      <c r="L59" s="109">
        <v>0.0178</v>
      </c>
      <c r="N59" s="103">
        <v>2000000</v>
      </c>
      <c r="O59" s="109">
        <v>0.0189</v>
      </c>
      <c r="P59" s="110"/>
      <c r="Q59" s="103">
        <v>2000000</v>
      </c>
      <c r="R59" s="109">
        <v>0.0198</v>
      </c>
      <c r="T59" s="103">
        <v>2000000</v>
      </c>
      <c r="U59" s="109">
        <v>0.0238</v>
      </c>
      <c r="W59" s="103"/>
      <c r="X59" s="109"/>
      <c r="Y59" s="110"/>
      <c r="Z59" s="103"/>
      <c r="AA59" s="109"/>
      <c r="AB59" s="110"/>
      <c r="AC59" s="103"/>
      <c r="AD59" s="109"/>
      <c r="AE59" s="110"/>
      <c r="AF59" s="103"/>
      <c r="AG59" s="109"/>
      <c r="AH59" s="110"/>
      <c r="AI59" s="103"/>
      <c r="AJ59" s="109"/>
      <c r="AK59" s="111"/>
    </row>
    <row r="60" spans="2:37" ht="12.75" customHeight="1">
      <c r="B60" s="103"/>
      <c r="C60" s="112">
        <f>IF(AND(C2&gt;2000000,C2&lt;=3000000),(C59+(C61-C59)*(C2-B59)/(B61-B59)),0)</f>
        <v>0</v>
      </c>
      <c r="D60" s="112">
        <f>C60</f>
        <v>0</v>
      </c>
      <c r="E60" s="103"/>
      <c r="F60" s="112">
        <f>IF(AND(F2&gt;2000000,F2&lt;=3000000),(F59+(F61-F59)*(F2-E59)/(E61-E59)),0)</f>
        <v>0</v>
      </c>
      <c r="G60" s="112">
        <f>F60</f>
        <v>0</v>
      </c>
      <c r="H60" s="103"/>
      <c r="I60" s="112">
        <f>IF(AND(I2&gt;2000000,I2&lt;=3000000),(I59+(I61-I59)*(I2-H59)/(H61-H59)),0)</f>
        <v>0</v>
      </c>
      <c r="J60" s="112">
        <f>I60</f>
        <v>0</v>
      </c>
      <c r="K60" s="103"/>
      <c r="L60" s="112">
        <f>IF(L2&gt;2000000,0.0178,0)</f>
        <v>0</v>
      </c>
      <c r="M60" s="112">
        <f>L60</f>
        <v>0</v>
      </c>
      <c r="N60" s="103"/>
      <c r="O60" s="112">
        <f>IF(AND(O2&gt;2000000,O2&lt;=3000000),(O59+(O61-O59)*(O2-N59)/(N61-N59)),0)</f>
        <v>0</v>
      </c>
      <c r="P60" s="112">
        <f>O60</f>
        <v>0</v>
      </c>
      <c r="Q60" s="103"/>
      <c r="R60" s="112">
        <f>IF(R2&gt;2000000,0.0198,0)</f>
        <v>0</v>
      </c>
      <c r="S60" s="112">
        <f>R58</f>
        <v>0</v>
      </c>
      <c r="T60" s="103"/>
      <c r="U60" s="112">
        <f>IF(U2&gt;2000000,0.0238,0)</f>
        <v>0</v>
      </c>
      <c r="V60" s="112">
        <f>U60</f>
        <v>0</v>
      </c>
      <c r="W60" s="103"/>
      <c r="X60" s="109"/>
      <c r="Y60" s="112"/>
      <c r="Z60" s="103"/>
      <c r="AA60" s="109"/>
      <c r="AB60" s="112"/>
      <c r="AC60" s="103"/>
      <c r="AD60" s="109"/>
      <c r="AE60" s="112"/>
      <c r="AF60" s="103"/>
      <c r="AG60" s="109"/>
      <c r="AH60" s="112"/>
      <c r="AI60" s="103"/>
      <c r="AJ60" s="109"/>
      <c r="AK60" s="112"/>
    </row>
    <row r="61" spans="2:37" ht="12.75" customHeight="1">
      <c r="B61" s="103">
        <v>3000000</v>
      </c>
      <c r="C61" s="109">
        <v>0.0126</v>
      </c>
      <c r="D61" s="110"/>
      <c r="E61" s="103">
        <v>3000000</v>
      </c>
      <c r="F61" s="109">
        <v>0.0142</v>
      </c>
      <c r="G61" s="110"/>
      <c r="H61" s="103">
        <v>3000000</v>
      </c>
      <c r="I61" s="109">
        <v>0.01605</v>
      </c>
      <c r="J61" s="110"/>
      <c r="K61" s="103"/>
      <c r="L61" s="109"/>
      <c r="M61" s="110"/>
      <c r="N61" s="103">
        <v>3000000</v>
      </c>
      <c r="O61" s="109">
        <v>0.0188</v>
      </c>
      <c r="Q61" s="103"/>
      <c r="R61" s="109"/>
      <c r="S61" s="110"/>
      <c r="T61" s="103"/>
      <c r="U61" s="109"/>
      <c r="V61" s="110"/>
      <c r="W61" s="103"/>
      <c r="X61" s="109"/>
      <c r="Y61" s="110"/>
      <c r="Z61" s="103"/>
      <c r="AA61" s="109"/>
      <c r="AB61" s="110"/>
      <c r="AC61" s="103"/>
      <c r="AD61" s="109"/>
      <c r="AE61" s="110"/>
      <c r="AF61" s="103"/>
      <c r="AG61" s="109"/>
      <c r="AH61" s="110"/>
      <c r="AI61" s="103"/>
      <c r="AJ61" s="109"/>
      <c r="AK61" s="111"/>
    </row>
    <row r="62" spans="2:37" ht="12.75" customHeight="1">
      <c r="B62" s="103"/>
      <c r="C62" s="112">
        <f>IF(AND(C2&gt;3000000,C2&lt;=4000000),(C61+(C63-C61)*(C2-B61)/(B63-B61)),0)</f>
        <v>0</v>
      </c>
      <c r="D62" s="112">
        <f>C62</f>
        <v>0</v>
      </c>
      <c r="E62" s="103"/>
      <c r="F62" s="112">
        <f>IF(AND(F2&gt;3000000,F2&lt;=4000000),(F61+(F63-F61)*(F2-E61)/(E63-E61)),0)</f>
        <v>0</v>
      </c>
      <c r="G62" s="112">
        <f>F62</f>
        <v>0</v>
      </c>
      <c r="H62" s="103"/>
      <c r="I62" s="112">
        <f>IF(AND(I2&gt;3000000,I2&lt;=4000000),(I61+(I63-I61)*(I2-H61)/(H63-H61)),0)</f>
        <v>0</v>
      </c>
      <c r="J62" s="112">
        <f>I62</f>
        <v>0</v>
      </c>
      <c r="K62" s="103"/>
      <c r="L62" s="109"/>
      <c r="M62" s="112"/>
      <c r="N62" s="103"/>
      <c r="O62" s="112">
        <f>IF(O2&gt;3000000,0.0188,0)</f>
        <v>0</v>
      </c>
      <c r="P62" s="112">
        <f>O62</f>
        <v>0</v>
      </c>
      <c r="Q62" s="103"/>
      <c r="R62" s="109"/>
      <c r="S62" s="112"/>
      <c r="T62" s="103"/>
      <c r="U62" s="109"/>
      <c r="V62" s="112"/>
      <c r="W62" s="103"/>
      <c r="X62" s="109"/>
      <c r="Y62" s="112"/>
      <c r="Z62" s="103"/>
      <c r="AA62" s="109"/>
      <c r="AB62" s="112"/>
      <c r="AC62" s="103"/>
      <c r="AD62" s="109"/>
      <c r="AE62" s="112"/>
      <c r="AF62" s="103"/>
      <c r="AG62" s="109"/>
      <c r="AH62" s="112"/>
      <c r="AI62" s="103"/>
      <c r="AJ62" s="109"/>
      <c r="AK62" s="112"/>
    </row>
    <row r="63" spans="2:37" ht="12.75" customHeight="1">
      <c r="B63" s="103">
        <v>4000000</v>
      </c>
      <c r="C63" s="109">
        <v>0.0124</v>
      </c>
      <c r="D63" s="110"/>
      <c r="E63" s="103">
        <v>4000000</v>
      </c>
      <c r="F63" s="109">
        <v>0.0141</v>
      </c>
      <c r="G63" s="110"/>
      <c r="H63" s="103">
        <v>4000000</v>
      </c>
      <c r="I63" s="109">
        <v>0.016</v>
      </c>
      <c r="J63" s="110"/>
      <c r="K63" s="103"/>
      <c r="L63" s="109"/>
      <c r="M63" s="110"/>
      <c r="N63" s="103"/>
      <c r="O63" s="109"/>
      <c r="P63" s="110"/>
      <c r="Q63" s="103"/>
      <c r="R63" s="109"/>
      <c r="S63" s="110"/>
      <c r="T63" s="103"/>
      <c r="U63" s="109"/>
      <c r="V63" s="110"/>
      <c r="W63" s="103"/>
      <c r="X63" s="109"/>
      <c r="Y63" s="110"/>
      <c r="Z63" s="103"/>
      <c r="AA63" s="109"/>
      <c r="AB63" s="110"/>
      <c r="AC63" s="103"/>
      <c r="AD63" s="109"/>
      <c r="AE63" s="110"/>
      <c r="AF63" s="103"/>
      <c r="AG63" s="109"/>
      <c r="AH63" s="110"/>
      <c r="AI63" s="103"/>
      <c r="AJ63" s="109"/>
      <c r="AK63" s="111"/>
    </row>
    <row r="64" spans="2:37" ht="12.75" customHeight="1">
      <c r="B64" s="103"/>
      <c r="C64" s="112">
        <f>IF(AND(C2&gt;4000000,C2&lt;=5000000),(C63+(C65-C63)*(C2-B63)/(B65-B63)),0)</f>
        <v>0</v>
      </c>
      <c r="D64" s="112">
        <f>C64</f>
        <v>0</v>
      </c>
      <c r="E64" s="103"/>
      <c r="F64" s="112">
        <f>IF(AND(F2&gt;4000000,F2&lt;=5000000),(F63+(F65-F63)*(F2-E63)/(E65-E63)),0)</f>
        <v>0</v>
      </c>
      <c r="G64" s="112">
        <f>F64</f>
        <v>0</v>
      </c>
      <c r="H64" s="103"/>
      <c r="I64" s="112">
        <f>IF(I2&gt;4000000,0.016,0)</f>
        <v>0</v>
      </c>
      <c r="J64" s="112">
        <f>I64</f>
        <v>0</v>
      </c>
      <c r="K64" s="103"/>
      <c r="L64" s="109"/>
      <c r="M64" s="112"/>
      <c r="N64" s="103"/>
      <c r="O64" s="109"/>
      <c r="P64" s="112"/>
      <c r="Q64" s="103"/>
      <c r="R64" s="109"/>
      <c r="S64" s="112"/>
      <c r="T64" s="103"/>
      <c r="U64" s="109"/>
      <c r="V64" s="112"/>
      <c r="W64" s="103"/>
      <c r="X64" s="109"/>
      <c r="Y64" s="112"/>
      <c r="Z64" s="103"/>
      <c r="AA64" s="109"/>
      <c r="AB64" s="112"/>
      <c r="AC64" s="103"/>
      <c r="AD64" s="109"/>
      <c r="AE64" s="112"/>
      <c r="AF64" s="103"/>
      <c r="AG64" s="109"/>
      <c r="AH64" s="112"/>
      <c r="AI64" s="103"/>
      <c r="AJ64" s="109"/>
      <c r="AK64" s="112"/>
    </row>
    <row r="65" spans="2:37" ht="12.75" customHeight="1">
      <c r="B65" s="103">
        <v>5000000</v>
      </c>
      <c r="C65" s="109">
        <v>0.0123</v>
      </c>
      <c r="D65" s="110"/>
      <c r="E65" s="103">
        <v>5000000</v>
      </c>
      <c r="F65" s="109">
        <v>0.014</v>
      </c>
      <c r="G65" s="110"/>
      <c r="H65" s="103"/>
      <c r="I65" s="109"/>
      <c r="J65" s="110"/>
      <c r="K65" s="103"/>
      <c r="L65" s="109"/>
      <c r="M65" s="110"/>
      <c r="N65" s="103"/>
      <c r="O65" s="109"/>
      <c r="P65" s="110"/>
      <c r="Q65" s="103"/>
      <c r="R65" s="109"/>
      <c r="S65" s="110"/>
      <c r="T65" s="103"/>
      <c r="U65" s="109"/>
      <c r="V65" s="110"/>
      <c r="W65" s="103"/>
      <c r="X65" s="109"/>
      <c r="Y65" s="110"/>
      <c r="Z65" s="103"/>
      <c r="AA65" s="109"/>
      <c r="AB65" s="110"/>
      <c r="AC65" s="103"/>
      <c r="AD65" s="109"/>
      <c r="AE65" s="110"/>
      <c r="AF65" s="103"/>
      <c r="AG65" s="109"/>
      <c r="AH65" s="110"/>
      <c r="AI65" s="103"/>
      <c r="AJ65" s="109"/>
      <c r="AK65" s="111"/>
    </row>
    <row r="66" spans="2:37" ht="12.75" customHeight="1">
      <c r="B66" s="103"/>
      <c r="C66" s="112">
        <f>IF(AND(C2&gt;5000000,C2&lt;=10000000),(C65+(C67-C65)*(C2-B65)/(B67-B65)),0)</f>
        <v>0</v>
      </c>
      <c r="D66" s="112">
        <f>C66</f>
        <v>0</v>
      </c>
      <c r="E66" s="103"/>
      <c r="F66" s="112">
        <f>IF(AND(F2&gt;5000000,F2&lt;=10000000),(F65+(F67-F65)*(F2-E65)/(E67-E65)),0)</f>
        <v>0</v>
      </c>
      <c r="G66" s="112">
        <f>F66</f>
        <v>0</v>
      </c>
      <c r="H66" s="103"/>
      <c r="I66" s="112"/>
      <c r="J66" s="112"/>
      <c r="K66" s="103"/>
      <c r="L66" s="109"/>
      <c r="M66" s="112"/>
      <c r="N66" s="103"/>
      <c r="O66" s="109"/>
      <c r="P66" s="112"/>
      <c r="Q66" s="103"/>
      <c r="R66" s="109"/>
      <c r="S66" s="112"/>
      <c r="T66" s="103"/>
      <c r="U66" s="109"/>
      <c r="V66" s="112"/>
      <c r="W66" s="103"/>
      <c r="X66" s="109"/>
      <c r="Y66" s="112"/>
      <c r="Z66" s="103"/>
      <c r="AA66" s="109"/>
      <c r="AB66" s="112"/>
      <c r="AC66" s="103"/>
      <c r="AD66" s="109"/>
      <c r="AE66" s="112"/>
      <c r="AF66" s="103"/>
      <c r="AG66" s="109"/>
      <c r="AH66" s="112"/>
      <c r="AI66" s="103"/>
      <c r="AJ66" s="109"/>
      <c r="AK66" s="112"/>
    </row>
    <row r="67" spans="2:37" ht="12.75" customHeight="1">
      <c r="B67" s="103">
        <v>10000000</v>
      </c>
      <c r="C67" s="109">
        <v>0.0122</v>
      </c>
      <c r="D67" s="110"/>
      <c r="E67" s="103">
        <v>10000000</v>
      </c>
      <c r="F67" s="109">
        <v>0.01396</v>
      </c>
      <c r="G67" s="110"/>
      <c r="H67" s="103"/>
      <c r="I67" s="109"/>
      <c r="J67" s="110"/>
      <c r="K67" s="103"/>
      <c r="L67" s="109"/>
      <c r="M67" s="110"/>
      <c r="N67" s="103"/>
      <c r="O67" s="109"/>
      <c r="P67" s="110"/>
      <c r="Q67" s="103"/>
      <c r="R67" s="109"/>
      <c r="S67" s="110"/>
      <c r="T67" s="103"/>
      <c r="U67" s="109"/>
      <c r="V67" s="110"/>
      <c r="W67" s="103"/>
      <c r="X67" s="109"/>
      <c r="Y67" s="110"/>
      <c r="Z67" s="103"/>
      <c r="AA67" s="109"/>
      <c r="AB67" s="110"/>
      <c r="AC67" s="103"/>
      <c r="AD67" s="109"/>
      <c r="AE67" s="110"/>
      <c r="AF67" s="103"/>
      <c r="AG67" s="109"/>
      <c r="AH67" s="110"/>
      <c r="AI67" s="103"/>
      <c r="AJ67" s="109"/>
      <c r="AK67" s="111"/>
    </row>
    <row r="68" spans="2:37" ht="12.75" customHeight="1">
      <c r="B68" s="103"/>
      <c r="C68" s="112">
        <f>IF(AND(C2&gt;10000000,C2&lt;=20000000),(C67+(C69-C67)*(C2-B67)/(B69-B67)),0)</f>
        <v>0</v>
      </c>
      <c r="D68" s="112">
        <f>C68</f>
        <v>0</v>
      </c>
      <c r="E68" s="103"/>
      <c r="F68" s="112">
        <f>IF(AND(F2&gt;10000000,F2&lt;=20000000),(F67+(F69-F67)*(F2-E67)/(E69-E67)),0)</f>
        <v>0</v>
      </c>
      <c r="G68" s="112">
        <f>F68</f>
        <v>0</v>
      </c>
      <c r="H68" s="103"/>
      <c r="I68" s="112"/>
      <c r="J68" s="112"/>
      <c r="K68" s="103"/>
      <c r="L68" s="109"/>
      <c r="M68" s="112"/>
      <c r="N68" s="103"/>
      <c r="O68" s="109"/>
      <c r="P68" s="112"/>
      <c r="Q68" s="103"/>
      <c r="R68" s="109"/>
      <c r="S68" s="112"/>
      <c r="T68" s="103"/>
      <c r="U68" s="109"/>
      <c r="V68" s="112"/>
      <c r="W68" s="103"/>
      <c r="X68" s="109"/>
      <c r="Y68" s="112"/>
      <c r="Z68" s="103"/>
      <c r="AA68" s="109"/>
      <c r="AB68" s="112"/>
      <c r="AC68" s="103"/>
      <c r="AD68" s="109"/>
      <c r="AE68" s="112"/>
      <c r="AF68" s="103"/>
      <c r="AG68" s="109"/>
      <c r="AH68" s="112"/>
      <c r="AI68" s="103"/>
      <c r="AJ68" s="109"/>
      <c r="AK68" s="112"/>
    </row>
    <row r="69" spans="2:37" ht="12.75" customHeight="1">
      <c r="B69" s="114">
        <v>20000000</v>
      </c>
      <c r="C69" s="115">
        <v>0.012</v>
      </c>
      <c r="D69" s="116"/>
      <c r="E69" s="114">
        <v>20000000</v>
      </c>
      <c r="F69" s="115">
        <v>0.0139</v>
      </c>
      <c r="G69" s="116"/>
      <c r="H69" s="114"/>
      <c r="I69" s="115"/>
      <c r="J69" s="116"/>
      <c r="K69" s="114"/>
      <c r="L69" s="115"/>
      <c r="M69" s="116"/>
      <c r="N69" s="114"/>
      <c r="O69" s="115"/>
      <c r="P69" s="116"/>
      <c r="Q69" s="114"/>
      <c r="R69" s="115"/>
      <c r="S69" s="116"/>
      <c r="T69" s="114"/>
      <c r="U69" s="115"/>
      <c r="V69" s="116"/>
      <c r="W69" s="114"/>
      <c r="X69" s="115"/>
      <c r="Y69" s="116"/>
      <c r="Z69" s="114"/>
      <c r="AA69" s="115"/>
      <c r="AB69" s="116"/>
      <c r="AC69" s="114"/>
      <c r="AD69" s="115"/>
      <c r="AE69" s="116"/>
      <c r="AF69" s="114"/>
      <c r="AG69" s="115"/>
      <c r="AH69" s="116"/>
      <c r="AI69" s="114"/>
      <c r="AJ69" s="115"/>
      <c r="AK69" s="117"/>
    </row>
    <row r="71" spans="2:37" ht="12.75" customHeight="1">
      <c r="B71" s="97" t="s">
        <v>532</v>
      </c>
      <c r="D71" s="99">
        <f>SUM(D6:D70)</f>
        <v>0.019676882872083013</v>
      </c>
      <c r="G71" s="99">
        <f>SUM(G6:G70)</f>
        <v>0.02029480478680502</v>
      </c>
      <c r="J71" s="99">
        <f>SUM(J6:J70)</f>
        <v>0.021035843829444015</v>
      </c>
      <c r="M71" s="99">
        <f>SUM(M6:M70)</f>
        <v>0.021735843829444015</v>
      </c>
      <c r="P71" s="99">
        <f>SUM(P6:P70)</f>
        <v>0.02249480478680502</v>
      </c>
      <c r="S71" s="99">
        <f>SUM(S6:S70)</f>
        <v>0.022917921914722007</v>
      </c>
      <c r="V71" s="99">
        <f>SUM(V6:V70)</f>
        <v>0.025917921914722006</v>
      </c>
      <c r="Y71" s="99">
        <f>SUM(Y6:Y70)</f>
        <v>0.029958960957361003</v>
      </c>
      <c r="AB71" s="99">
        <f>SUM(AB6:AB70)</f>
        <v>0.03331792191472201</v>
      </c>
      <c r="AE71" s="99">
        <f>SUM(AE6:AE70)</f>
        <v>0.036258960957361</v>
      </c>
      <c r="AH71" s="99">
        <f>SUM(AH6:AH70)</f>
        <v>0.038817921914722005</v>
      </c>
      <c r="AK71" s="99">
        <f>SUM(AK6:AK70)</f>
        <v>0.04437688287208301</v>
      </c>
    </row>
    <row r="73" spans="2:35" ht="12.75" customHeight="1">
      <c r="B73" s="110" t="s">
        <v>533</v>
      </c>
      <c r="D73" s="110"/>
      <c r="E73" s="99">
        <f>ED</f>
        <v>0.004761904761904762</v>
      </c>
      <c r="H73" s="99">
        <f>ED</f>
        <v>0.004761904761904762</v>
      </c>
      <c r="K73" s="99">
        <f>ED</f>
        <v>0.004761904761904762</v>
      </c>
      <c r="N73" s="99">
        <f>ED</f>
        <v>0.004761904761904762</v>
      </c>
      <c r="Q73" s="99">
        <f>ED</f>
        <v>0.004761904761904762</v>
      </c>
      <c r="T73" s="99">
        <f>ED</f>
        <v>0.004761904761904762</v>
      </c>
      <c r="W73" s="99">
        <f>ED</f>
        <v>0.004761904761904762</v>
      </c>
      <c r="Z73" s="99">
        <f>ED</f>
        <v>0.004761904761904762</v>
      </c>
      <c r="AC73" s="99">
        <f>ED</f>
        <v>0.004761904761904762</v>
      </c>
      <c r="AF73" s="99">
        <f>ED</f>
        <v>0.004761904761904762</v>
      </c>
      <c r="AI73" s="99">
        <f>ED</f>
        <v>0.004761904761904762</v>
      </c>
    </row>
    <row r="75" spans="2:37" ht="30.75" customHeight="1">
      <c r="B75" s="97" t="s">
        <v>534</v>
      </c>
      <c r="E75" s="99">
        <f>IF(AND(E73&gt;0.0001,E73&lt;=0.0002),D71+(G71-D71)*(E73-C5)/(F5-C5),0)</f>
        <v>0</v>
      </c>
      <c r="H75" s="99">
        <f>IF(AND(H73&gt;0.0002,H73&lt;=0.0004),G71+(J71-G71)*(H73-F5)/(I5-F5),0)</f>
        <v>0</v>
      </c>
      <c r="K75" s="99">
        <f>IF(AND(K73&gt;0.0004,K73&lt;=0.0006),J71+(M71-J71)*(K73-I5)/(L5-I5),0)</f>
        <v>0</v>
      </c>
      <c r="N75" s="99">
        <f>IF(AND(N73&gt;0.0006,N73&lt;=0.0008),M71+(P71-M71)*(N73-L5)/(O5-L5),0)</f>
        <v>0</v>
      </c>
      <c r="Q75" s="99">
        <f>IF(AND(Q73&gt;0.0008,Q73&lt;=0.001),P71+(S71-P71)*(Q73-O5)/(R5-O5),0)</f>
        <v>0</v>
      </c>
      <c r="T75" s="99">
        <f>IF(AND(T73&gt;0.001,T73&lt;=0.002),S71+(V71-S71)*(T73-R5)/(U5-R5),0)</f>
        <v>0</v>
      </c>
      <c r="W75" s="99">
        <f>IF(AND(W73&gt;0.002,W73&lt;=0.004),V71+(Y71-V71)*(W73-U5)/(X5-U5),0)</f>
        <v>0</v>
      </c>
      <c r="Z75" s="99">
        <f>IF(AND(Z73&gt;0.004,Z73&lt;=0.006),Y71+(AB71-Y71)*(Z73-X5)/(AA5-X5),0)</f>
        <v>0.031238565131593767</v>
      </c>
      <c r="AC75" s="99">
        <f>IF(AND(AC73&gt;0.006,AC73&lt;=0.008),AB71+(AE71-AB71)*(AC73-AA5)/(AD5-AA5),0)</f>
        <v>0</v>
      </c>
      <c r="AF75" s="99">
        <f>IF(AND(AF73&gt;0.008,AF73&lt;=0.01),AE71+(AH71-AE71)*(AF73-AD5)/(AG5-AD5),0)</f>
        <v>0</v>
      </c>
      <c r="AI75" s="99">
        <f>IF(AND(AI73&gt;0.01,AI73&lt;=0.015),AH71+(AK71-AH71)*(AI73-AG5)/(AJ5-AG5),0)</f>
        <v>0</v>
      </c>
      <c r="AK75" s="118">
        <f>SUM(E75:AJ75)</f>
        <v>0.031238565131593767</v>
      </c>
    </row>
    <row r="77" ht="12.75" customHeight="1">
      <c r="A77" s="96" t="s">
        <v>535</v>
      </c>
    </row>
    <row r="79" spans="2:37" ht="12.75" customHeight="1">
      <c r="B79" s="97" t="s">
        <v>529</v>
      </c>
      <c r="C79" s="98">
        <f>RE1</f>
        <v>129681.83246182423</v>
      </c>
      <c r="D79" s="99"/>
      <c r="E79" s="97" t="s">
        <v>529</v>
      </c>
      <c r="F79" s="98">
        <f>RE1</f>
        <v>129681.83246182423</v>
      </c>
      <c r="G79" s="99"/>
      <c r="H79" s="97" t="s">
        <v>529</v>
      </c>
      <c r="I79" s="98">
        <f>RE1</f>
        <v>129681.83246182423</v>
      </c>
      <c r="J79" s="99"/>
      <c r="K79" s="97" t="s">
        <v>529</v>
      </c>
      <c r="L79" s="98">
        <f>RE1</f>
        <v>129681.83246182423</v>
      </c>
      <c r="M79" s="99"/>
      <c r="N79" s="97" t="s">
        <v>529</v>
      </c>
      <c r="O79" s="98">
        <f>RE1</f>
        <v>129681.83246182423</v>
      </c>
      <c r="P79" s="99"/>
      <c r="Q79" s="97" t="s">
        <v>529</v>
      </c>
      <c r="R79" s="98">
        <f>RE1</f>
        <v>129681.83246182423</v>
      </c>
      <c r="S79" s="99"/>
      <c r="T79" s="97" t="s">
        <v>529</v>
      </c>
      <c r="U79" s="98">
        <f>RE1</f>
        <v>129681.83246182423</v>
      </c>
      <c r="V79" s="99"/>
      <c r="W79" s="97" t="s">
        <v>529</v>
      </c>
      <c r="X79" s="98">
        <f>RE1</f>
        <v>129681.83246182423</v>
      </c>
      <c r="Y79" s="99"/>
      <c r="Z79" s="97" t="s">
        <v>529</v>
      </c>
      <c r="AA79" s="98">
        <f>RE1</f>
        <v>129681.83246182423</v>
      </c>
      <c r="AB79" s="99"/>
      <c r="AC79" s="97" t="s">
        <v>529</v>
      </c>
      <c r="AD79" s="98">
        <f>RE1</f>
        <v>129681.83246182423</v>
      </c>
      <c r="AE79" s="99"/>
      <c r="AF79" s="97" t="s">
        <v>529</v>
      </c>
      <c r="AG79" s="98">
        <f>RE1</f>
        <v>129681.83246182423</v>
      </c>
      <c r="AH79" s="99"/>
      <c r="AI79" s="97" t="s">
        <v>529</v>
      </c>
      <c r="AJ79" s="98">
        <f>RE1</f>
        <v>129681.83246182423</v>
      </c>
      <c r="AK79" s="99"/>
    </row>
    <row r="81" spans="2:37" ht="12.75" customHeight="1">
      <c r="B81" s="100" t="s">
        <v>530</v>
      </c>
      <c r="C81" s="101" t="s">
        <v>531</v>
      </c>
      <c r="D81" s="101"/>
      <c r="E81" s="100" t="s">
        <v>530</v>
      </c>
      <c r="F81" s="101" t="s">
        <v>531</v>
      </c>
      <c r="G81" s="101"/>
      <c r="H81" s="100" t="s">
        <v>530</v>
      </c>
      <c r="I81" s="101" t="s">
        <v>531</v>
      </c>
      <c r="J81" s="101"/>
      <c r="K81" s="100" t="s">
        <v>530</v>
      </c>
      <c r="L81" s="101" t="s">
        <v>531</v>
      </c>
      <c r="M81" s="101"/>
      <c r="N81" s="100" t="s">
        <v>530</v>
      </c>
      <c r="O81" s="101" t="s">
        <v>531</v>
      </c>
      <c r="P81" s="101"/>
      <c r="Q81" s="100" t="s">
        <v>530</v>
      </c>
      <c r="R81" s="101" t="s">
        <v>531</v>
      </c>
      <c r="S81" s="101"/>
      <c r="T81" s="100" t="s">
        <v>530</v>
      </c>
      <c r="U81" s="101" t="s">
        <v>531</v>
      </c>
      <c r="V81" s="101"/>
      <c r="W81" s="100" t="s">
        <v>530</v>
      </c>
      <c r="X81" s="101" t="s">
        <v>531</v>
      </c>
      <c r="Y81" s="101"/>
      <c r="Z81" s="100" t="s">
        <v>530</v>
      </c>
      <c r="AA81" s="101" t="s">
        <v>531</v>
      </c>
      <c r="AB81" s="101"/>
      <c r="AC81" s="100" t="s">
        <v>530</v>
      </c>
      <c r="AD81" s="101" t="s">
        <v>531</v>
      </c>
      <c r="AE81" s="101"/>
      <c r="AF81" s="100" t="s">
        <v>530</v>
      </c>
      <c r="AG81" s="101" t="s">
        <v>531</v>
      </c>
      <c r="AH81" s="101"/>
      <c r="AI81" s="100" t="s">
        <v>530</v>
      </c>
      <c r="AJ81" s="101" t="s">
        <v>531</v>
      </c>
      <c r="AK81" s="102"/>
    </row>
    <row r="82" spans="2:37" ht="12.75" customHeight="1">
      <c r="B82" s="103"/>
      <c r="C82" s="104">
        <v>0.0001</v>
      </c>
      <c r="D82" s="105"/>
      <c r="E82" s="103"/>
      <c r="F82" s="104">
        <v>0.0002</v>
      </c>
      <c r="G82" s="105"/>
      <c r="H82" s="103"/>
      <c r="I82" s="104">
        <v>0.0004</v>
      </c>
      <c r="J82" s="105"/>
      <c r="K82" s="103"/>
      <c r="L82" s="104">
        <v>0.0006</v>
      </c>
      <c r="M82" s="105"/>
      <c r="N82" s="103"/>
      <c r="O82" s="104">
        <v>0.0008</v>
      </c>
      <c r="P82" s="105"/>
      <c r="Q82" s="103"/>
      <c r="R82" s="104">
        <v>0.001</v>
      </c>
      <c r="S82" s="105"/>
      <c r="T82" s="103"/>
      <c r="U82" s="104">
        <v>0.002</v>
      </c>
      <c r="V82" s="105"/>
      <c r="W82" s="103"/>
      <c r="X82" s="104">
        <v>0.004</v>
      </c>
      <c r="Y82" s="105"/>
      <c r="Z82" s="103"/>
      <c r="AA82" s="104">
        <v>0.006</v>
      </c>
      <c r="AB82" s="105"/>
      <c r="AC82" s="103"/>
      <c r="AD82" s="104">
        <v>0.008</v>
      </c>
      <c r="AE82" s="105"/>
      <c r="AF82" s="103"/>
      <c r="AG82" s="104">
        <v>0.01</v>
      </c>
      <c r="AH82" s="105"/>
      <c r="AI82" s="103"/>
      <c r="AJ82" s="104">
        <v>0.015</v>
      </c>
      <c r="AK82" s="106"/>
    </row>
    <row r="83" spans="2:37" ht="12.75" customHeight="1">
      <c r="B83" s="100"/>
      <c r="C83" s="107">
        <f>IF(C79&lt;3000,0.044,0)</f>
        <v>0</v>
      </c>
      <c r="D83" s="108">
        <f>C83</f>
        <v>0</v>
      </c>
      <c r="E83" s="100"/>
      <c r="F83" s="107">
        <f>IF(F79&lt;3000,0.044,0)</f>
        <v>0</v>
      </c>
      <c r="G83" s="108">
        <f>F83</f>
        <v>0</v>
      </c>
      <c r="H83" s="100"/>
      <c r="I83" s="107">
        <f>IF(I79&lt;3000,0.044,0)</f>
        <v>0</v>
      </c>
      <c r="J83" s="108">
        <f>I83</f>
        <v>0</v>
      </c>
      <c r="K83" s="100"/>
      <c r="L83" s="107">
        <f>IF(L79&lt;3000,0.044,0)</f>
        <v>0</v>
      </c>
      <c r="M83" s="108">
        <f>L83</f>
        <v>0</v>
      </c>
      <c r="N83" s="100"/>
      <c r="O83" s="107">
        <f>IF(O79&lt;3000,0.044,0)</f>
        <v>0</v>
      </c>
      <c r="P83" s="108">
        <f>O83</f>
        <v>0</v>
      </c>
      <c r="Q83" s="100"/>
      <c r="R83" s="107">
        <f>IF(R79&lt;3000,0.044,0)</f>
        <v>0</v>
      </c>
      <c r="S83" s="108">
        <f>R83</f>
        <v>0</v>
      </c>
      <c r="T83" s="100"/>
      <c r="U83" s="107">
        <f>IF(U79&lt;3000,0.046,0)</f>
        <v>0</v>
      </c>
      <c r="V83" s="108">
        <f>U83</f>
        <v>0</v>
      </c>
      <c r="W83" s="100"/>
      <c r="X83" s="107">
        <f>IF(X79&lt;3000,0.048,0)</f>
        <v>0</v>
      </c>
      <c r="Y83" s="108">
        <f>X83</f>
        <v>0</v>
      </c>
      <c r="Z83" s="100"/>
      <c r="AA83" s="107">
        <f>IF(AA79&lt;3000,0.049,0)</f>
        <v>0</v>
      </c>
      <c r="AB83" s="108">
        <f>AA83</f>
        <v>0</v>
      </c>
      <c r="AC83" s="100"/>
      <c r="AD83" s="107">
        <f>IF(AD79&lt;3000,0.051,0)</f>
        <v>0</v>
      </c>
      <c r="AE83" s="108">
        <f>AD83</f>
        <v>0</v>
      </c>
      <c r="AF83" s="100"/>
      <c r="AG83" s="107">
        <f>IF(AG79&lt;3000,0.052,0)</f>
        <v>0</v>
      </c>
      <c r="AH83" s="108">
        <f>AG83</f>
        <v>0</v>
      </c>
      <c r="AI83" s="100"/>
      <c r="AJ83" s="107">
        <f>IF(AJ79&lt;3000,0.055,0)</f>
        <v>0</v>
      </c>
      <c r="AK83" s="108">
        <f>AJ83</f>
        <v>0</v>
      </c>
    </row>
    <row r="84" spans="2:37" ht="12.75" customHeight="1">
      <c r="B84" s="103">
        <v>3000</v>
      </c>
      <c r="C84" s="109">
        <v>0.044</v>
      </c>
      <c r="D84" s="110"/>
      <c r="E84" s="103">
        <v>3000</v>
      </c>
      <c r="F84" s="109">
        <v>0.044</v>
      </c>
      <c r="G84" s="110"/>
      <c r="H84" s="103">
        <v>3000</v>
      </c>
      <c r="I84" s="109">
        <v>0.044</v>
      </c>
      <c r="J84" s="110"/>
      <c r="K84" s="103">
        <v>3000</v>
      </c>
      <c r="L84" s="109">
        <v>0.044</v>
      </c>
      <c r="M84" s="110"/>
      <c r="N84" s="103">
        <v>3000</v>
      </c>
      <c r="O84" s="109">
        <v>0.044</v>
      </c>
      <c r="P84" s="110"/>
      <c r="Q84" s="103">
        <v>3000</v>
      </c>
      <c r="R84" s="109">
        <v>0.044</v>
      </c>
      <c r="S84" s="110"/>
      <c r="T84" s="103">
        <v>3000</v>
      </c>
      <c r="U84" s="109">
        <v>0.046</v>
      </c>
      <c r="V84" s="110"/>
      <c r="W84" s="103">
        <v>3000</v>
      </c>
      <c r="X84" s="109">
        <v>0.048</v>
      </c>
      <c r="Y84" s="110"/>
      <c r="Z84" s="103">
        <v>3000</v>
      </c>
      <c r="AA84" s="109">
        <v>0.049</v>
      </c>
      <c r="AB84" s="110"/>
      <c r="AC84" s="103">
        <v>3000</v>
      </c>
      <c r="AD84" s="109">
        <v>0.051</v>
      </c>
      <c r="AE84" s="110"/>
      <c r="AF84" s="103">
        <v>3000</v>
      </c>
      <c r="AG84" s="109">
        <v>0.052</v>
      </c>
      <c r="AH84" s="110"/>
      <c r="AI84" s="103">
        <v>3000</v>
      </c>
      <c r="AJ84" s="109">
        <v>0.055</v>
      </c>
      <c r="AK84" s="111"/>
    </row>
    <row r="85" spans="2:37" ht="12.75" customHeight="1">
      <c r="B85" s="103"/>
      <c r="C85" s="112">
        <f>IF(AND(C79&gt;=3000,C79&lt;=4000),(C84+(C86-C84)*(C79-B84)/(B86-B84)),0)</f>
        <v>0</v>
      </c>
      <c r="D85" s="108">
        <f>C85</f>
        <v>0</v>
      </c>
      <c r="E85" s="103"/>
      <c r="F85" s="112">
        <f>IF(AND(F79&gt;=3000,F79&lt;=4000),(F84+(F86-F84)*(F79-E84)/(E86-E84)),0)</f>
        <v>0</v>
      </c>
      <c r="G85" s="108">
        <f>F85</f>
        <v>0</v>
      </c>
      <c r="H85" s="103"/>
      <c r="I85" s="112">
        <f>IF(AND(I79&gt;=3000,I79&lt;=4000),(I84+(I86-I84)*(I79-H84)/(H86-H84)),0)</f>
        <v>0</v>
      </c>
      <c r="J85" s="108">
        <f>I85</f>
        <v>0</v>
      </c>
      <c r="K85" s="103"/>
      <c r="L85" s="112">
        <f>IF(AND(L79&gt;=3000,L79&lt;=4000),(L84+(L86-L84)*(L79-K84)/(K86-K84)),0)</f>
        <v>0</v>
      </c>
      <c r="M85" s="108">
        <f>L85</f>
        <v>0</v>
      </c>
      <c r="N85" s="103"/>
      <c r="O85" s="112">
        <f>IF(AND(O79&gt;=3000,O79&lt;=4000),(O84+(O86-O84)*(O79-N84)/(N86-N84)),0)</f>
        <v>0</v>
      </c>
      <c r="P85" s="108">
        <f>O85</f>
        <v>0</v>
      </c>
      <c r="Q85" s="103"/>
      <c r="R85" s="112">
        <f>IF(AND(R79&gt;=3000,R79&lt;=4000),(R84+(R86-R84)*(R79-Q84)/(Q86-Q84)),0)</f>
        <v>0</v>
      </c>
      <c r="S85" s="108">
        <f>R85</f>
        <v>0</v>
      </c>
      <c r="T85" s="103"/>
      <c r="U85" s="112">
        <f>IF(AND(U79&gt;=3000,U79&lt;=4000),(U84+(U86-U84)*(U79-T84)/(T86-T84)),0)</f>
        <v>0</v>
      </c>
      <c r="V85" s="108">
        <f>U85</f>
        <v>0</v>
      </c>
      <c r="W85" s="103"/>
      <c r="X85" s="112">
        <f>IF(AND(X79&gt;=3000,X79&lt;=4000),(X84+(X86-X84)*(X79-W84)/(W86-W84)),0)</f>
        <v>0</v>
      </c>
      <c r="Y85" s="108">
        <f>X85</f>
        <v>0</v>
      </c>
      <c r="Z85" s="103"/>
      <c r="AA85" s="112">
        <f>IF(AND(AA79&gt;=3000,AA79&lt;=4000),(AA84+(AA86-AA84)*(AA79-Z84)/(Z86-Z84)),0)</f>
        <v>0</v>
      </c>
      <c r="AB85" s="108">
        <f>AA85</f>
        <v>0</v>
      </c>
      <c r="AC85" s="103"/>
      <c r="AD85" s="112">
        <f>IF(AND(AD79&gt;=3000,AD79&lt;=4000),(AD84+(AD86-AD84)*(AD79-AC84)/(AC86-AC84)),0)</f>
        <v>0</v>
      </c>
      <c r="AE85" s="108">
        <f>AD85</f>
        <v>0</v>
      </c>
      <c r="AF85" s="103"/>
      <c r="AG85" s="112">
        <f>IF(AND(AG79&gt;=3000,AG79&lt;=4000),(AG84+(AG86-AG84)*(AG79-AF84)/(AF86-AF84)),0)</f>
        <v>0</v>
      </c>
      <c r="AH85" s="108">
        <f>AG85</f>
        <v>0</v>
      </c>
      <c r="AI85" s="103"/>
      <c r="AJ85" s="112">
        <f>IF(AND(AJ79&gt;=3000,AJ79&lt;=4000),(AJ84+(AJ86-AJ84)*(AJ79-AI84)/(AI86-AI84)),0)</f>
        <v>0</v>
      </c>
      <c r="AK85" s="108">
        <f>AJ85</f>
        <v>0</v>
      </c>
    </row>
    <row r="86" spans="2:37" ht="12.75" customHeight="1">
      <c r="B86" s="103">
        <v>4000</v>
      </c>
      <c r="C86" s="109">
        <v>0.0406</v>
      </c>
      <c r="D86" s="110"/>
      <c r="E86" s="103">
        <v>4000</v>
      </c>
      <c r="F86" s="109">
        <v>0.0406</v>
      </c>
      <c r="G86" s="110"/>
      <c r="H86" s="103">
        <v>4000</v>
      </c>
      <c r="I86" s="109">
        <v>0.0407</v>
      </c>
      <c r="J86" s="110"/>
      <c r="K86" s="103">
        <v>4000</v>
      </c>
      <c r="L86" s="109">
        <v>0.0408</v>
      </c>
      <c r="M86" s="110"/>
      <c r="N86" s="103">
        <v>4000</v>
      </c>
      <c r="O86" s="109">
        <v>0.0409</v>
      </c>
      <c r="P86" s="110"/>
      <c r="Q86" s="103">
        <v>4000</v>
      </c>
      <c r="R86" s="109">
        <v>0.041</v>
      </c>
      <c r="S86" s="110"/>
      <c r="T86" s="103">
        <v>4000</v>
      </c>
      <c r="U86" s="109">
        <v>0.042</v>
      </c>
      <c r="V86" s="110"/>
      <c r="W86" s="103">
        <v>4000</v>
      </c>
      <c r="X86" s="109">
        <v>0.044</v>
      </c>
      <c r="Y86" s="110"/>
      <c r="Z86" s="103">
        <v>4000</v>
      </c>
      <c r="AA86" s="109">
        <v>0.046</v>
      </c>
      <c r="AB86" s="110"/>
      <c r="AC86" s="103">
        <v>4000</v>
      </c>
      <c r="AD86" s="109">
        <v>0.0478</v>
      </c>
      <c r="AE86" s="110"/>
      <c r="AF86" s="103">
        <v>4000</v>
      </c>
      <c r="AG86" s="109">
        <v>0.0495</v>
      </c>
      <c r="AH86" s="110"/>
      <c r="AI86" s="103">
        <v>4000</v>
      </c>
      <c r="AJ86" s="109">
        <v>0.053</v>
      </c>
      <c r="AK86" s="111"/>
    </row>
    <row r="87" spans="2:37" ht="12.75" customHeight="1">
      <c r="B87" s="103"/>
      <c r="C87" s="112">
        <f>IF(AND(C79&gt;4000,C79&lt;=5000),(C86+(C88-C86)*(C79-B86)/(B88-B86)),0)</f>
        <v>0</v>
      </c>
      <c r="D87" s="108">
        <f>C87</f>
        <v>0</v>
      </c>
      <c r="E87" s="103"/>
      <c r="F87" s="112">
        <f>IF(AND(F79&gt;4000,F79&lt;=5000),(F86+(F88-F86)*(F79-E86)/(E88-E86)),0)</f>
        <v>0</v>
      </c>
      <c r="G87" s="108">
        <f>F87</f>
        <v>0</v>
      </c>
      <c r="H87" s="103"/>
      <c r="I87" s="112">
        <f>IF(AND(I79&gt;4000,I79&lt;=5000),(I86+(I88-I86)*(I79-H86)/(H88-H86)),0)</f>
        <v>0</v>
      </c>
      <c r="J87" s="108">
        <f>I87</f>
        <v>0</v>
      </c>
      <c r="K87" s="103"/>
      <c r="L87" s="112">
        <f>IF(AND(L79&gt;4000,L79&lt;=5000),(L86+(L88-L86)*(L79-K86)/(K88-K86)),0)</f>
        <v>0</v>
      </c>
      <c r="M87" s="108">
        <f>L87</f>
        <v>0</v>
      </c>
      <c r="N87" s="103"/>
      <c r="O87" s="112">
        <f>IF(AND(O79&gt;4000,O79&lt;=5000),(O86+(O88-O86)*(O79-N86)/(N88-N86)),0)</f>
        <v>0</v>
      </c>
      <c r="P87" s="108">
        <f>O87</f>
        <v>0</v>
      </c>
      <c r="Q87" s="103"/>
      <c r="R87" s="112">
        <f>IF(AND(R79&gt;4000,R79&lt;=5000),(R86+(R88-R86)*(R79-Q86)/(Q88-Q86)),0)</f>
        <v>0</v>
      </c>
      <c r="S87" s="108">
        <f>R87</f>
        <v>0</v>
      </c>
      <c r="T87" s="103"/>
      <c r="U87" s="112">
        <f>IF(AND(U79&gt;4000,U79&lt;=5000),(U86+(U88-U86)*(U79-T86)/(T88-T86)),0)</f>
        <v>0</v>
      </c>
      <c r="V87" s="108">
        <f>U87</f>
        <v>0</v>
      </c>
      <c r="W87" s="103"/>
      <c r="X87" s="112">
        <f>IF(AND(X79&gt;4000,X79&lt;=5000),(X86+(X88-X86)*(X79-W86)/(W88-W86)),0)</f>
        <v>0</v>
      </c>
      <c r="Y87" s="108">
        <f>X87</f>
        <v>0</v>
      </c>
      <c r="Z87" s="103"/>
      <c r="AA87" s="112">
        <f>IF(AND(AA79&gt;4000,AA79&lt;=5000),(AA86+(AA88-AA86)*(AA79-Z86)/(Z88-Z86)),0)</f>
        <v>0</v>
      </c>
      <c r="AB87" s="108">
        <f>AA87</f>
        <v>0</v>
      </c>
      <c r="AC87" s="103"/>
      <c r="AD87" s="112">
        <f>IF(AND(AD79&gt;4000,AD79&lt;=5000),(AD86+(AD88-AD86)*(AD79-AC86)/(AC88-AC86)),0)</f>
        <v>0</v>
      </c>
      <c r="AE87" s="108">
        <f>AD87</f>
        <v>0</v>
      </c>
      <c r="AF87" s="103"/>
      <c r="AG87" s="112">
        <f>IF(AND(AG79&gt;4000,AG79&lt;=5000),(AG86+(AG88-AG86)*(AG79-AF86)/(AF88-AF86)),0)</f>
        <v>0</v>
      </c>
      <c r="AH87" s="108">
        <f>AG87</f>
        <v>0</v>
      </c>
      <c r="AI87" s="103"/>
      <c r="AJ87" s="112">
        <f>IF(AND(AJ79&gt;4000,AJ79&lt;=5000),(AJ86+(AJ88-AJ86)*(AJ79-AI86)/(AI88-AI86)),0)</f>
        <v>0</v>
      </c>
      <c r="AK87" s="113">
        <f>AJ87</f>
        <v>0</v>
      </c>
    </row>
    <row r="88" spans="2:37" ht="12.75" customHeight="1">
      <c r="B88" s="103">
        <v>5000</v>
      </c>
      <c r="C88" s="109">
        <v>0.038</v>
      </c>
      <c r="D88" s="110"/>
      <c r="E88" s="103">
        <v>5000</v>
      </c>
      <c r="F88" s="109">
        <v>0.0382</v>
      </c>
      <c r="G88" s="110"/>
      <c r="H88" s="103">
        <v>5000</v>
      </c>
      <c r="I88" s="109">
        <v>0.0384</v>
      </c>
      <c r="J88" s="110"/>
      <c r="K88" s="103">
        <v>5000</v>
      </c>
      <c r="L88" s="109">
        <v>0.0386</v>
      </c>
      <c r="M88" s="110"/>
      <c r="N88" s="103">
        <v>5000</v>
      </c>
      <c r="O88" s="109">
        <v>0.0387</v>
      </c>
      <c r="P88" s="110"/>
      <c r="Q88" s="103">
        <v>5000</v>
      </c>
      <c r="R88" s="109">
        <v>0.0388</v>
      </c>
      <c r="S88" s="110"/>
      <c r="T88" s="103">
        <v>5000</v>
      </c>
      <c r="U88" s="109">
        <v>0.04</v>
      </c>
      <c r="V88" s="110"/>
      <c r="W88" s="103">
        <v>5000</v>
      </c>
      <c r="X88" s="109">
        <v>0.042</v>
      </c>
      <c r="Y88" s="110"/>
      <c r="Z88" s="103">
        <v>5000</v>
      </c>
      <c r="AA88" s="109">
        <v>0.044</v>
      </c>
      <c r="AB88" s="110"/>
      <c r="AC88" s="103">
        <v>5000</v>
      </c>
      <c r="AD88" s="109">
        <v>0.046</v>
      </c>
      <c r="AE88" s="110"/>
      <c r="AF88" s="103">
        <v>5000</v>
      </c>
      <c r="AG88" s="109">
        <v>0.0476</v>
      </c>
      <c r="AH88" s="110"/>
      <c r="AI88" s="103">
        <v>5000</v>
      </c>
      <c r="AJ88" s="109">
        <v>0.051</v>
      </c>
      <c r="AK88" s="111"/>
    </row>
    <row r="89" spans="2:37" ht="12.75" customHeight="1">
      <c r="B89" s="103"/>
      <c r="C89" s="112">
        <f>IF(AND(C79&gt;5000,C79&lt;=6000),(C88+(C90-C88)*(C79-B88)/(B90-B88)),0)</f>
        <v>0</v>
      </c>
      <c r="D89" s="112">
        <f>C89</f>
        <v>0</v>
      </c>
      <c r="E89" s="112"/>
      <c r="F89" s="112">
        <f>IF(AND(F79&gt;5000,F79&lt;=6000),(F88+(F90-F88)*(F79-E88)/(E90-E88)),0)</f>
        <v>0</v>
      </c>
      <c r="G89" s="112">
        <f>F89</f>
        <v>0</v>
      </c>
      <c r="H89" s="112"/>
      <c r="I89" s="112">
        <f>IF(AND(I79&gt;5000,I79&lt;=6000),(I88+(I90-I88)*(I79-H88)/(H90-H88)),0)</f>
        <v>0</v>
      </c>
      <c r="J89" s="112">
        <f>I89</f>
        <v>0</v>
      </c>
      <c r="K89" s="112"/>
      <c r="L89" s="112">
        <f>IF(AND(L79&gt;5000,L79&lt;=6000),(L88+(L90-L88)*(L79-K88)/(K90-K88)),0)</f>
        <v>0</v>
      </c>
      <c r="M89" s="112">
        <f>L89</f>
        <v>0</v>
      </c>
      <c r="N89" s="112"/>
      <c r="O89" s="112">
        <f>IF(AND(O79&gt;5000,O79&lt;=6000),(O88+(O90-O88)*(O79-N88)/(N90-N88)),0)</f>
        <v>0</v>
      </c>
      <c r="P89" s="112">
        <f>O89</f>
        <v>0</v>
      </c>
      <c r="Q89" s="112"/>
      <c r="R89" s="112">
        <f>IF(AND(R79&gt;5000,R79&lt;=6000),(R88+(R90-R88)*(R79-Q88)/(Q90-Q88)),0)</f>
        <v>0</v>
      </c>
      <c r="S89" s="112">
        <f>R89</f>
        <v>0</v>
      </c>
      <c r="T89" s="112"/>
      <c r="U89" s="112">
        <f>IF(AND(U79&gt;5000,U79&lt;=6000),(U88+(U90-U88)*(U79-T88)/(T90-T88)),0)</f>
        <v>0</v>
      </c>
      <c r="V89" s="112">
        <f>U89</f>
        <v>0</v>
      </c>
      <c r="W89" s="112"/>
      <c r="X89" s="112">
        <f>IF(AND(X79&gt;5000,X79&lt;=6000),(X88+(X90-X88)*(X79-W88)/(W90-W88)),0)</f>
        <v>0</v>
      </c>
      <c r="Y89" s="112">
        <f>X89</f>
        <v>0</v>
      </c>
      <c r="Z89" s="112"/>
      <c r="AA89" s="112">
        <f>IF(AND(AA79&gt;5000,AA79&lt;=6000),(AA88+(AA90-AA88)*(AA79-Z88)/(Z90-Z88)),0)</f>
        <v>0</v>
      </c>
      <c r="AB89" s="112">
        <f>AA89</f>
        <v>0</v>
      </c>
      <c r="AC89" s="112"/>
      <c r="AD89" s="112">
        <f>IF(AND(AD79&gt;5000,AD79&lt;=6000),(AD88+(AD90-AD88)*(AD79-AC88)/(AC90-AC88)),0)</f>
        <v>0</v>
      </c>
      <c r="AE89" s="112">
        <f>AD89</f>
        <v>0</v>
      </c>
      <c r="AF89" s="112"/>
      <c r="AG89" s="112">
        <f>IF(AND(AG79&gt;5000,AG79&lt;=6000),(AG88+(AG90-AG88)*(AG79-AF88)/(AF90-AF88)),0)</f>
        <v>0</v>
      </c>
      <c r="AH89" s="112">
        <f>AG89</f>
        <v>0</v>
      </c>
      <c r="AI89" s="112"/>
      <c r="AJ89" s="112">
        <f>IF(AND(AJ79&gt;5000,AJ79&lt;=6000),(AJ88+(AJ90-AJ88)*(AJ79-AI88)/(AI90-AI88)),0)</f>
        <v>0</v>
      </c>
      <c r="AK89" s="112">
        <f>AJ89</f>
        <v>0</v>
      </c>
    </row>
    <row r="90" spans="2:37" ht="12.75" customHeight="1">
      <c r="B90" s="103">
        <v>6000</v>
      </c>
      <c r="C90" s="109">
        <v>0.0358</v>
      </c>
      <c r="D90" s="110"/>
      <c r="E90" s="103">
        <v>6000</v>
      </c>
      <c r="F90" s="109">
        <v>0.036</v>
      </c>
      <c r="G90" s="110"/>
      <c r="H90" s="103">
        <v>6000</v>
      </c>
      <c r="I90" s="109">
        <v>0.0362</v>
      </c>
      <c r="J90" s="110"/>
      <c r="K90" s="103">
        <v>6000</v>
      </c>
      <c r="L90" s="109">
        <v>0.0365</v>
      </c>
      <c r="M90" s="110"/>
      <c r="N90" s="103">
        <v>6000</v>
      </c>
      <c r="O90" s="109">
        <v>0.0368</v>
      </c>
      <c r="P90" s="110"/>
      <c r="Q90" s="103">
        <v>6000</v>
      </c>
      <c r="R90" s="109">
        <v>0.037</v>
      </c>
      <c r="S90" s="110"/>
      <c r="T90" s="103">
        <v>6000</v>
      </c>
      <c r="U90" s="109">
        <v>0.038</v>
      </c>
      <c r="V90" s="110"/>
      <c r="W90" s="103">
        <v>6000</v>
      </c>
      <c r="X90" s="109">
        <v>0.04</v>
      </c>
      <c r="Y90" s="110"/>
      <c r="Z90" s="103">
        <v>6000</v>
      </c>
      <c r="AA90" s="109">
        <v>0.0423</v>
      </c>
      <c r="AB90" s="110"/>
      <c r="AC90" s="103">
        <v>6000</v>
      </c>
      <c r="AD90" s="109">
        <v>0.0442</v>
      </c>
      <c r="AE90" s="110"/>
      <c r="AF90" s="103">
        <v>6000</v>
      </c>
      <c r="AG90" s="109">
        <v>0.046</v>
      </c>
      <c r="AH90" s="110"/>
      <c r="AI90" s="103">
        <v>6000</v>
      </c>
      <c r="AJ90" s="109">
        <v>0.05</v>
      </c>
      <c r="AK90" s="111"/>
    </row>
    <row r="91" spans="2:37" ht="12.75" customHeight="1">
      <c r="B91" s="103"/>
      <c r="C91" s="112">
        <f>IF(AND(C79&gt;6000,C79&lt;=7000),(C90+(C92-C90)*(C79-B90)/(B92-B90)),0)</f>
        <v>0</v>
      </c>
      <c r="D91" s="112">
        <f>C91</f>
        <v>0</v>
      </c>
      <c r="E91" s="112"/>
      <c r="F91" s="112">
        <f>IF(AND(F79&gt;6000,F79&lt;=7000),(F90+(F92-F90)*(F79-E90)/(E92-E90)),0)</f>
        <v>0</v>
      </c>
      <c r="G91" s="112">
        <f>F91</f>
        <v>0</v>
      </c>
      <c r="H91" s="112"/>
      <c r="I91" s="112">
        <f>IF(AND(I79&gt;6000,I79&lt;=7000),(I90+(I92-I90)*(I79-H90)/(H92-H90)),0)</f>
        <v>0</v>
      </c>
      <c r="J91" s="112">
        <f>I91</f>
        <v>0</v>
      </c>
      <c r="K91" s="112"/>
      <c r="L91" s="112">
        <f>IF(AND(L79&gt;6000,L79&lt;=7000),(L90+(L92-L90)*(L79-K90)/(K92-K90)),0)</f>
        <v>0</v>
      </c>
      <c r="M91" s="112">
        <f>L91</f>
        <v>0</v>
      </c>
      <c r="N91" s="112"/>
      <c r="O91" s="112">
        <f>IF(AND(O79&gt;6000,O79&lt;=7000),(O90+(O92-O90)*(O79-N90)/(N92-N90)),0)</f>
        <v>0</v>
      </c>
      <c r="P91" s="112">
        <f>O91</f>
        <v>0</v>
      </c>
      <c r="Q91" s="112"/>
      <c r="R91" s="112">
        <f>IF(AND(R79&gt;6000,R79&lt;=7000),(R90+(R92-R90)*(R79-Q90)/(Q92-Q90)),0)</f>
        <v>0</v>
      </c>
      <c r="S91" s="112">
        <f>R91</f>
        <v>0</v>
      </c>
      <c r="T91" s="112"/>
      <c r="U91" s="112">
        <f>IF(AND(U79&gt;6000,U79&lt;=7000),(U90+(U92-U90)*(U79-T90)/(T92-T90)),0)</f>
        <v>0</v>
      </c>
      <c r="V91" s="112">
        <f>U91</f>
        <v>0</v>
      </c>
      <c r="W91" s="112"/>
      <c r="X91" s="112">
        <f>IF(AND(X79&gt;6000,X79&lt;=7000),(X90+(X92-X90)*(X79-W90)/(W92-W90)),0)</f>
        <v>0</v>
      </c>
      <c r="Y91" s="112">
        <f>X91</f>
        <v>0</v>
      </c>
      <c r="Z91" s="112"/>
      <c r="AA91" s="112">
        <f>IF(AND(AA79&gt;6000,AA79&lt;=7000),(AA90+(AA92-AA90)*(AA79-Z90)/(Z92-Z90)),0)</f>
        <v>0</v>
      </c>
      <c r="AB91" s="112">
        <f>AA91</f>
        <v>0</v>
      </c>
      <c r="AC91" s="112"/>
      <c r="AD91" s="112">
        <f>IF(AND(AD79&gt;6000,AD79&lt;=7000),(AD90+(AD92-AD90)*(AD79-AC90)/(AC92-AC90)),0)</f>
        <v>0</v>
      </c>
      <c r="AE91" s="112">
        <f>AD91</f>
        <v>0</v>
      </c>
      <c r="AF91" s="112"/>
      <c r="AG91" s="112">
        <f>IF(AND(AG79&gt;6000,AG79&lt;=7000),(AG90+(AG92-AG90)*(AG79-AF90)/(AF92-AF90)),0)</f>
        <v>0</v>
      </c>
      <c r="AH91" s="112">
        <f>AG91</f>
        <v>0</v>
      </c>
      <c r="AI91" s="112"/>
      <c r="AJ91" s="112">
        <f>IF(AND(AJ79&gt;6000,AJ79&lt;=7000),(AJ90+(AJ92-AJ90)*(AJ79-AI90)/(AI92-AI90)),0)</f>
        <v>0</v>
      </c>
      <c r="AK91" s="112">
        <f>AJ91</f>
        <v>0</v>
      </c>
    </row>
    <row r="92" spans="2:37" ht="12.75" customHeight="1">
      <c r="B92" s="103">
        <v>7000</v>
      </c>
      <c r="C92" s="109">
        <v>0.0331</v>
      </c>
      <c r="D92" s="110"/>
      <c r="E92" s="103">
        <v>7000</v>
      </c>
      <c r="F92" s="109">
        <v>0.0335</v>
      </c>
      <c r="G92" s="110"/>
      <c r="H92" s="103">
        <v>7000</v>
      </c>
      <c r="I92" s="109">
        <v>0.0338</v>
      </c>
      <c r="J92" s="110"/>
      <c r="K92" s="103">
        <v>7000</v>
      </c>
      <c r="L92" s="109">
        <v>0.0342</v>
      </c>
      <c r="M92" s="110"/>
      <c r="N92" s="103">
        <v>7000</v>
      </c>
      <c r="O92" s="109">
        <v>0.0345</v>
      </c>
      <c r="P92" s="110"/>
      <c r="Q92" s="103">
        <v>7000</v>
      </c>
      <c r="R92" s="109">
        <v>0.0352</v>
      </c>
      <c r="S92" s="110"/>
      <c r="T92" s="103">
        <v>7000</v>
      </c>
      <c r="U92" s="109">
        <v>0.0367</v>
      </c>
      <c r="V92" s="110"/>
      <c r="W92" s="103">
        <v>7000</v>
      </c>
      <c r="X92" s="109">
        <v>0.039</v>
      </c>
      <c r="Y92" s="110"/>
      <c r="Z92" s="103">
        <v>7000</v>
      </c>
      <c r="AA92" s="109">
        <v>0.0417</v>
      </c>
      <c r="AB92" s="110"/>
      <c r="AC92" s="103">
        <v>7000</v>
      </c>
      <c r="AD92" s="109">
        <v>0.0432</v>
      </c>
      <c r="AE92" s="110"/>
      <c r="AF92" s="103">
        <v>7000</v>
      </c>
      <c r="AG92" s="109">
        <v>0.045</v>
      </c>
      <c r="AH92" s="110"/>
      <c r="AI92" s="103">
        <v>7000</v>
      </c>
      <c r="AJ92" s="109">
        <v>0.0495</v>
      </c>
      <c r="AK92" s="111"/>
    </row>
    <row r="93" spans="2:37" ht="12.75" customHeight="1">
      <c r="B93" s="103"/>
      <c r="C93" s="112">
        <f>IF(AND(C79&gt;7000,C79&lt;=8000),(C92+(C94-C92)*(C79-B92)/(B94-B92)),0)</f>
        <v>0</v>
      </c>
      <c r="D93" s="112">
        <f>C93</f>
        <v>0</v>
      </c>
      <c r="E93" s="112"/>
      <c r="F93" s="112">
        <f>IF(AND(F79&gt;7000,F79&lt;=8000),(F92+(F94-F92)*(F79-E92)/(E94-E92)),0)</f>
        <v>0</v>
      </c>
      <c r="G93" s="112">
        <f>F93</f>
        <v>0</v>
      </c>
      <c r="H93" s="112"/>
      <c r="I93" s="112">
        <f>IF(AND(I79&gt;7000,I79&lt;=8000),(I92+(I94-I92)*(I79-H92)/(H94-H92)),0)</f>
        <v>0</v>
      </c>
      <c r="J93" s="112">
        <f>I93</f>
        <v>0</v>
      </c>
      <c r="K93" s="112"/>
      <c r="L93" s="112">
        <f>IF(AND(L79&gt;7000,L79&lt;=8000),(L92+(L94-L92)*(L79-K92)/(K94-K92)),0)</f>
        <v>0</v>
      </c>
      <c r="M93" s="112">
        <f>L93</f>
        <v>0</v>
      </c>
      <c r="N93" s="112"/>
      <c r="O93" s="112">
        <f>IF(AND(O79&gt;7000,O79&lt;=8000),(O92+(O94-O92)*(O79-N92)/(N94-N92)),0)</f>
        <v>0</v>
      </c>
      <c r="P93" s="112">
        <f>O93</f>
        <v>0</v>
      </c>
      <c r="Q93" s="112"/>
      <c r="R93" s="112">
        <f>IF(AND(R79&gt;7000,R79&lt;=8000),(R92+(R94-R92)*(R79-Q92)/(Q94-Q92)),0)</f>
        <v>0</v>
      </c>
      <c r="S93" s="112">
        <f>R93</f>
        <v>0</v>
      </c>
      <c r="T93" s="112"/>
      <c r="U93" s="112">
        <f>IF(AND(U79&gt;7000,U79&lt;=8000),(U92+(U94-U92)*(U79-T92)/(T94-T92)),0)</f>
        <v>0</v>
      </c>
      <c r="V93" s="112">
        <f>U93</f>
        <v>0</v>
      </c>
      <c r="W93" s="112"/>
      <c r="X93" s="112">
        <f>IF(AND(X79&gt;7000,X79&lt;=8000),(X92+(X94-X92)*(X79-W92)/(W94-W92)),0)</f>
        <v>0</v>
      </c>
      <c r="Y93" s="112">
        <f>X93</f>
        <v>0</v>
      </c>
      <c r="Z93" s="112"/>
      <c r="AA93" s="112">
        <f>IF(AND(AA79&gt;7000,AA79&lt;=8000),(AA92+(AA94-AA92)*(AA79-Z92)/(Z94-Z92)),0)</f>
        <v>0</v>
      </c>
      <c r="AB93" s="112">
        <f>AA93</f>
        <v>0</v>
      </c>
      <c r="AC93" s="112"/>
      <c r="AD93" s="112">
        <f>IF(AND(AD79&gt;7000,AD79&lt;=8000),(AD92+(AD94-AD92)*(AD79-AC92)/(AC94-AC92)),0)</f>
        <v>0</v>
      </c>
      <c r="AE93" s="112">
        <f>AD93</f>
        <v>0</v>
      </c>
      <c r="AF93" s="112"/>
      <c r="AG93" s="112">
        <f>IF(AND(AG79&gt;7000,AG79&lt;=8000),(AG92+(AG94-AG92)*(AG79-AF92)/(AF94-AF92)),0)</f>
        <v>0</v>
      </c>
      <c r="AH93" s="112">
        <f>AG93</f>
        <v>0</v>
      </c>
      <c r="AI93" s="112"/>
      <c r="AJ93" s="112">
        <f>IF(AND(AJ79&gt;7000,AJ79&lt;=8000),(AJ92+(AJ94-AJ92)*(AJ79-AI92)/(AI94-AI92)),0)</f>
        <v>0</v>
      </c>
      <c r="AK93" s="112">
        <f>AJ93</f>
        <v>0</v>
      </c>
    </row>
    <row r="94" spans="2:37" ht="12.75" customHeight="1">
      <c r="B94" s="103">
        <v>8000</v>
      </c>
      <c r="C94" s="109">
        <v>0.033</v>
      </c>
      <c r="D94" s="110"/>
      <c r="E94" s="103">
        <v>8000</v>
      </c>
      <c r="F94" s="109">
        <v>0.0333</v>
      </c>
      <c r="G94" s="110"/>
      <c r="H94" s="103">
        <v>8000</v>
      </c>
      <c r="I94" s="109">
        <v>0.0335</v>
      </c>
      <c r="J94" s="110"/>
      <c r="K94" s="103">
        <v>8000</v>
      </c>
      <c r="L94" s="109">
        <v>0.037</v>
      </c>
      <c r="M94" s="110"/>
      <c r="N94" s="103">
        <v>8000</v>
      </c>
      <c r="O94" s="109">
        <v>0.034</v>
      </c>
      <c r="P94" s="110"/>
      <c r="Q94" s="103">
        <v>8000</v>
      </c>
      <c r="R94" s="109">
        <v>0.0342</v>
      </c>
      <c r="S94" s="110"/>
      <c r="T94" s="103">
        <v>8000</v>
      </c>
      <c r="U94" s="109">
        <v>0.0358</v>
      </c>
      <c r="V94" s="110"/>
      <c r="W94" s="103">
        <v>8000</v>
      </c>
      <c r="X94" s="109">
        <v>0.038</v>
      </c>
      <c r="Y94" s="110"/>
      <c r="Z94" s="103">
        <v>8000</v>
      </c>
      <c r="AA94" s="109">
        <v>0.0408</v>
      </c>
      <c r="AB94" s="110"/>
      <c r="AC94" s="103">
        <v>8000</v>
      </c>
      <c r="AD94" s="109">
        <v>0.0422</v>
      </c>
      <c r="AE94" s="110"/>
      <c r="AF94" s="103">
        <v>8000</v>
      </c>
      <c r="AG94" s="109">
        <v>0.044</v>
      </c>
      <c r="AH94" s="110"/>
      <c r="AI94" s="103">
        <v>8000</v>
      </c>
      <c r="AJ94" s="109">
        <v>0.0487</v>
      </c>
      <c r="AK94" s="111"/>
    </row>
    <row r="95" spans="2:37" ht="12.75" customHeight="1">
      <c r="B95" s="103"/>
      <c r="C95" s="112">
        <f>IF(AND(C79&gt;8000,C79&lt;=9000),(C94+(C96-C94)*(C79-B94)/(B96-B94)),0)</f>
        <v>0</v>
      </c>
      <c r="D95" s="112">
        <f>C95</f>
        <v>0</v>
      </c>
      <c r="E95" s="112"/>
      <c r="F95" s="112">
        <f>IF(AND(F79&gt;8000,F79&lt;=9000),(F94+(F96-F94)*(F79-E94)/(E96-E94)),0)</f>
        <v>0</v>
      </c>
      <c r="G95" s="112">
        <f>F95</f>
        <v>0</v>
      </c>
      <c r="H95" s="112"/>
      <c r="I95" s="112">
        <f>IF(AND(I79&gt;8000,I79&lt;=9000),(I94+(I96-I94)*(I79-H94)/(H96-H94)),0)</f>
        <v>0</v>
      </c>
      <c r="J95" s="112">
        <f>I95</f>
        <v>0</v>
      </c>
      <c r="K95" s="112"/>
      <c r="L95" s="112">
        <f>IF(AND(L79&gt;8000,L79&lt;=9000),(L94+(L96-L94)*(L79-K94)/(K96-K94)),0)</f>
        <v>0</v>
      </c>
      <c r="M95" s="112">
        <f>L95</f>
        <v>0</v>
      </c>
      <c r="N95" s="112"/>
      <c r="O95" s="112">
        <f>IF(AND(O79&gt;8000,O79&lt;=9000),(O94+(O96-O94)*(O79-N94)/(N96-N94)),0)</f>
        <v>0</v>
      </c>
      <c r="P95" s="112">
        <f>O95</f>
        <v>0</v>
      </c>
      <c r="Q95" s="112"/>
      <c r="R95" s="112">
        <f>IF(AND(R79&gt;8000,R79&lt;=9000),(R94+(R96-R94)*(R79-Q94)/(Q96-Q94)),0)</f>
        <v>0</v>
      </c>
      <c r="S95" s="112">
        <f>R95</f>
        <v>0</v>
      </c>
      <c r="T95" s="112"/>
      <c r="U95" s="112">
        <f>IF(AND(U79&gt;8000,U79&lt;=9000),(U94+(U96-U94)*(U79-T94)/(T96-T94)),0)</f>
        <v>0</v>
      </c>
      <c r="V95" s="112">
        <f>U95</f>
        <v>0</v>
      </c>
      <c r="W95" s="112"/>
      <c r="X95" s="112">
        <f>IF(AND(X79&gt;8000,X79&lt;=9000),(X94+(X96-X94)*(X79-W94)/(W96-W94)),0)</f>
        <v>0</v>
      </c>
      <c r="Y95" s="112">
        <f>X95</f>
        <v>0</v>
      </c>
      <c r="Z95" s="112"/>
      <c r="AA95" s="112">
        <f>IF(AND(AA79&gt;8000,AA79&lt;=9000),(AA94+(AA96-AA94)*(AA79-Z94)/(Z96-Z94)),0)</f>
        <v>0</v>
      </c>
      <c r="AB95" s="112">
        <f>AA95</f>
        <v>0</v>
      </c>
      <c r="AC95" s="112"/>
      <c r="AD95" s="112">
        <f>IF(AND(AD79&gt;8000,AD79&lt;=9000),(AD94+(AD96-AD94)*(AD79-AC94)/(AC96-AC94)),0)</f>
        <v>0</v>
      </c>
      <c r="AE95" s="112">
        <f>AD95</f>
        <v>0</v>
      </c>
      <c r="AF95" s="112"/>
      <c r="AG95" s="112">
        <f>IF(AND(AG79&gt;8000,AG79&lt;=9000),(AG94+(AG96-AG94)*(AG79-AF94)/(AF96-AF94)),0)</f>
        <v>0</v>
      </c>
      <c r="AH95" s="112">
        <f>AG95</f>
        <v>0</v>
      </c>
      <c r="AI95" s="112"/>
      <c r="AJ95" s="112">
        <f>IF(AND(AJ79&gt;8000,AJ79&lt;=9000),(AJ94+(AJ96-AJ94)*(AJ79-AI94)/(AI96-AI94)),0)</f>
        <v>0</v>
      </c>
      <c r="AK95" s="112">
        <f>AJ95</f>
        <v>0</v>
      </c>
    </row>
    <row r="96" spans="2:37" ht="12.75" customHeight="1">
      <c r="B96" s="103">
        <v>9000</v>
      </c>
      <c r="C96" s="109">
        <v>0.032</v>
      </c>
      <c r="D96" s="110"/>
      <c r="E96" s="103">
        <v>9000</v>
      </c>
      <c r="F96" s="109">
        <v>0.0323</v>
      </c>
      <c r="G96" s="110"/>
      <c r="H96" s="103">
        <v>9000</v>
      </c>
      <c r="I96" s="109">
        <v>0.0325</v>
      </c>
      <c r="J96" s="110"/>
      <c r="K96" s="103">
        <v>9000</v>
      </c>
      <c r="L96" s="109">
        <v>0.0327</v>
      </c>
      <c r="M96" s="110"/>
      <c r="N96" s="103">
        <v>9000</v>
      </c>
      <c r="O96" s="109">
        <v>0.0329</v>
      </c>
      <c r="P96" s="110"/>
      <c r="Q96" s="103">
        <v>9000</v>
      </c>
      <c r="R96" s="109">
        <v>0.0332</v>
      </c>
      <c r="S96" s="110"/>
      <c r="T96" s="103">
        <v>9000</v>
      </c>
      <c r="U96" s="109">
        <v>0.0345</v>
      </c>
      <c r="V96" s="110"/>
      <c r="W96" s="103">
        <v>9000</v>
      </c>
      <c r="X96" s="109">
        <v>0.0372</v>
      </c>
      <c r="Y96" s="110"/>
      <c r="Z96" s="103">
        <v>9000</v>
      </c>
      <c r="AA96" s="109">
        <v>0.0399</v>
      </c>
      <c r="AB96" s="110"/>
      <c r="AC96" s="103">
        <v>9000</v>
      </c>
      <c r="AD96" s="109">
        <v>0.0418</v>
      </c>
      <c r="AE96" s="110"/>
      <c r="AF96" s="103">
        <v>9000</v>
      </c>
      <c r="AG96" s="109">
        <v>0.0435</v>
      </c>
      <c r="AH96" s="110"/>
      <c r="AI96" s="103">
        <v>9000</v>
      </c>
      <c r="AJ96" s="109">
        <v>0.0481</v>
      </c>
      <c r="AK96" s="111"/>
    </row>
    <row r="97" spans="2:37" ht="12.75" customHeight="1">
      <c r="B97" s="103"/>
      <c r="C97" s="112">
        <f>IF(AND(C79&gt;9000,C79&lt;=10000),(C96+(C98-C96)*(C79-B96)/(B98-B96)),0)</f>
        <v>0</v>
      </c>
      <c r="D97" s="112">
        <f>C97</f>
        <v>0</v>
      </c>
      <c r="E97" s="112"/>
      <c r="F97" s="112">
        <f>IF(AND(F79&gt;9000,F79&lt;=10000),(F96+(F98-F96)*(F79-E96)/(E98-E96)),0)</f>
        <v>0</v>
      </c>
      <c r="G97" s="112">
        <f>F97</f>
        <v>0</v>
      </c>
      <c r="H97" s="112"/>
      <c r="I97" s="112">
        <f>IF(AND(I79&gt;9000,I79&lt;=10000),(I96+(I98-I96)*(I79-H96)/(H98-H96)),0)</f>
        <v>0</v>
      </c>
      <c r="J97" s="112">
        <f>I97</f>
        <v>0</v>
      </c>
      <c r="K97" s="112"/>
      <c r="L97" s="112">
        <f>IF(AND(L79&gt;9000,L79&lt;=10000),(L96+(L98-L96)*(L79-K96)/(K98-K96)),0)</f>
        <v>0</v>
      </c>
      <c r="M97" s="112">
        <f>L97</f>
        <v>0</v>
      </c>
      <c r="N97" s="112"/>
      <c r="O97" s="112">
        <f>IF(AND(O79&gt;9000,O79&lt;=10000),(O96+(O98-O96)*(O79-N96)/(N98-N96)),0)</f>
        <v>0</v>
      </c>
      <c r="P97" s="112">
        <f>O97</f>
        <v>0</v>
      </c>
      <c r="Q97" s="112"/>
      <c r="R97" s="112">
        <f>IF(AND(R79&gt;9000,R79&lt;=10000),(R96+(R98-R96)*(R79-Q96)/(Q98-Q96)),0)</f>
        <v>0</v>
      </c>
      <c r="S97" s="112">
        <f>R97</f>
        <v>0</v>
      </c>
      <c r="T97" s="112"/>
      <c r="U97" s="112">
        <f>IF(AND(U79&gt;9000,U79&lt;=10000),(U96+(U98-U96)*(U79-T96)/(T98-T96)),0)</f>
        <v>0</v>
      </c>
      <c r="V97" s="112">
        <f>U97</f>
        <v>0</v>
      </c>
      <c r="W97" s="112"/>
      <c r="X97" s="112">
        <f>IF(AND(X79&gt;9000,X79&lt;=10000),(X96+(X98-X96)*(X79-W96)/(W98-W96)),0)</f>
        <v>0</v>
      </c>
      <c r="Y97" s="112">
        <f>X97</f>
        <v>0</v>
      </c>
      <c r="Z97" s="112"/>
      <c r="AA97" s="112">
        <f>IF(AND(AA79&gt;9000,AA79&lt;=10000),(AA96+(AA98-AA96)*(AA79-Z96)/(Z98-Z96)),0)</f>
        <v>0</v>
      </c>
      <c r="AB97" s="112">
        <f>AA97</f>
        <v>0</v>
      </c>
      <c r="AC97" s="112"/>
      <c r="AD97" s="112">
        <f>IF(AND(AD79&gt;9000,AD79&lt;=10000),(AD96+(AD98-AD96)*(AD79-AC96)/(AC98-AC96)),0)</f>
        <v>0</v>
      </c>
      <c r="AE97" s="112">
        <f>AD97</f>
        <v>0</v>
      </c>
      <c r="AF97" s="112"/>
      <c r="AG97" s="112">
        <f>IF(AND(AG79&gt;9000,AG79&lt;=10000),(AG96+(AG98-AG96)*(AG79-AF96)/(AF98-AF96)),0)</f>
        <v>0</v>
      </c>
      <c r="AH97" s="112">
        <f>AG97</f>
        <v>0</v>
      </c>
      <c r="AI97" s="112"/>
      <c r="AJ97" s="112">
        <f>IF(AND(AJ79&gt;9000,AJ79&lt;=10000),(AJ96+(AJ98-AJ96)*(AJ79-AI96)/(AI98-AI96)),0)</f>
        <v>0</v>
      </c>
      <c r="AK97" s="112">
        <f>AJ97</f>
        <v>0</v>
      </c>
    </row>
    <row r="98" spans="2:37" ht="12.75" customHeight="1">
      <c r="B98" s="103">
        <v>10000</v>
      </c>
      <c r="C98" s="109">
        <v>0.0313</v>
      </c>
      <c r="D98" s="110"/>
      <c r="E98" s="103">
        <v>10000</v>
      </c>
      <c r="F98" s="109">
        <v>0.0315</v>
      </c>
      <c r="G98" s="110"/>
      <c r="H98" s="103">
        <v>10000</v>
      </c>
      <c r="I98" s="109">
        <v>0.0317</v>
      </c>
      <c r="J98" s="110"/>
      <c r="K98" s="103">
        <v>10000</v>
      </c>
      <c r="L98" s="109">
        <v>0.032</v>
      </c>
      <c r="M98" s="110"/>
      <c r="N98" s="103">
        <v>10000</v>
      </c>
      <c r="O98" s="109">
        <v>0.0322</v>
      </c>
      <c r="P98" s="110"/>
      <c r="Q98" s="103">
        <v>10000</v>
      </c>
      <c r="R98" s="109">
        <v>0.0325</v>
      </c>
      <c r="S98" s="110"/>
      <c r="T98" s="103">
        <v>10000</v>
      </c>
      <c r="U98" s="109">
        <v>0.0338</v>
      </c>
      <c r="V98" s="110"/>
      <c r="W98" s="103">
        <v>10000</v>
      </c>
      <c r="X98" s="109">
        <v>0.0365</v>
      </c>
      <c r="Y98" s="110"/>
      <c r="Z98" s="103">
        <v>10000</v>
      </c>
      <c r="AA98" s="109">
        <v>0.0395</v>
      </c>
      <c r="AB98" s="110"/>
      <c r="AC98" s="103">
        <v>10000</v>
      </c>
      <c r="AD98" s="109">
        <v>0.0143</v>
      </c>
      <c r="AE98" s="110"/>
      <c r="AF98" s="103">
        <v>10000</v>
      </c>
      <c r="AG98" s="109">
        <v>0.0432</v>
      </c>
      <c r="AH98" s="110"/>
      <c r="AI98" s="103">
        <v>10000</v>
      </c>
      <c r="AJ98" s="109">
        <v>0.0479</v>
      </c>
      <c r="AK98" s="111"/>
    </row>
    <row r="99" spans="2:37" ht="12.75" customHeight="1">
      <c r="B99" s="103"/>
      <c r="C99" s="112">
        <f>IF(AND(C79&gt;10000,C79&lt;=20000),(C98+(C100-C98)*(C79-B98)/(B100-B98)),0)</f>
        <v>0</v>
      </c>
      <c r="D99" s="112">
        <f>C99</f>
        <v>0</v>
      </c>
      <c r="E99" s="112"/>
      <c r="F99" s="112">
        <f>IF(AND(F79&gt;10000,F79&lt;=20000),(F98+(F100-F98)*(F79-E98)/(E100-E98)),0)</f>
        <v>0</v>
      </c>
      <c r="G99" s="112">
        <f>F99</f>
        <v>0</v>
      </c>
      <c r="H99" s="112"/>
      <c r="I99" s="112">
        <f>IF(AND(I79&gt;10000,I79&lt;=20000),(I98+(I100-I98)*(I79-H98)/(H100-H98)),0)</f>
        <v>0</v>
      </c>
      <c r="J99" s="112">
        <f>I99</f>
        <v>0</v>
      </c>
      <c r="K99" s="112"/>
      <c r="L99" s="112">
        <f>IF(AND(L79&gt;10000,L79&lt;=20000),(L98+(L100-L98)*(L79-K98)/(K100-K98)),0)</f>
        <v>0</v>
      </c>
      <c r="M99" s="112">
        <f>L99</f>
        <v>0</v>
      </c>
      <c r="N99" s="112"/>
      <c r="O99" s="112">
        <f>IF(AND(O79&gt;10000,O79&lt;=20000),(O98+(O100-O98)*(O79-N98)/(N100-N98)),0)</f>
        <v>0</v>
      </c>
      <c r="P99" s="112">
        <f>O99</f>
        <v>0</v>
      </c>
      <c r="Q99" s="112"/>
      <c r="R99" s="112">
        <f>IF(AND(R79&gt;10000,R79&lt;=20000),(R98+(R100-R98)*(R79-Q98)/(Q100-Q98)),0)</f>
        <v>0</v>
      </c>
      <c r="S99" s="112">
        <f>R99</f>
        <v>0</v>
      </c>
      <c r="T99" s="112"/>
      <c r="U99" s="112">
        <f>IF(AND(U79&gt;10000,U79&lt;=20000),(U98+(U100-U98)*(U79-T98)/(T100-T98)),0)</f>
        <v>0</v>
      </c>
      <c r="V99" s="112">
        <f>U99</f>
        <v>0</v>
      </c>
      <c r="W99" s="112"/>
      <c r="X99" s="112">
        <f>IF(AND(X79&gt;10000,X79&lt;=20000),(X98+(X100-X98)*(X79-W98)/(W100-W98)),0)</f>
        <v>0</v>
      </c>
      <c r="Y99" s="112">
        <f>X99</f>
        <v>0</v>
      </c>
      <c r="Z99" s="112"/>
      <c r="AA99" s="112">
        <f>IF(AND(AA79&gt;10000,AA79&lt;=20000),(AA98+(AA100-AA98)*(AA79-Z98)/(Z100-Z98)),0)</f>
        <v>0</v>
      </c>
      <c r="AB99" s="112">
        <f>AA99</f>
        <v>0</v>
      </c>
      <c r="AC99" s="112"/>
      <c r="AD99" s="112">
        <f>IF(AND(AD79&gt;10000,AD79&lt;=20000),(AD98+(AD100-AD98)*(AD79-AC98)/(AC100-AC98)),0)</f>
        <v>0</v>
      </c>
      <c r="AE99" s="112">
        <f>AD99</f>
        <v>0</v>
      </c>
      <c r="AF99" s="112"/>
      <c r="AG99" s="112">
        <f>IF(AND(AG79&gt;10000,AG79&lt;=20000),(AG98+(AG100-AG98)*(AG79-AF98)/(AF100-AF98)),0)</f>
        <v>0</v>
      </c>
      <c r="AH99" s="112">
        <f>AG99</f>
        <v>0</v>
      </c>
      <c r="AI99" s="112"/>
      <c r="AJ99" s="112">
        <f>IF(AND(AJ79&gt;10000,AJ79&lt;=20000),(AJ98+(AJ100-AJ98)*(AJ79-AI98)/(AI100-AI98)),0)</f>
        <v>0</v>
      </c>
      <c r="AK99" s="112">
        <f>AJ99</f>
        <v>0</v>
      </c>
    </row>
    <row r="100" spans="2:37" ht="12.75" customHeight="1">
      <c r="B100" s="103">
        <v>20000</v>
      </c>
      <c r="C100" s="109">
        <v>0.0267</v>
      </c>
      <c r="D100" s="110"/>
      <c r="E100" s="103">
        <v>20000</v>
      </c>
      <c r="F100" s="109">
        <v>0.0268</v>
      </c>
      <c r="G100" s="110"/>
      <c r="H100" s="103">
        <v>20000</v>
      </c>
      <c r="I100" s="109">
        <v>0.0269</v>
      </c>
      <c r="J100" s="110"/>
      <c r="K100" s="103">
        <v>20000</v>
      </c>
      <c r="L100" s="109">
        <v>0.0275</v>
      </c>
      <c r="M100" s="110"/>
      <c r="N100" s="103">
        <v>20000</v>
      </c>
      <c r="O100" s="109">
        <v>0.0277</v>
      </c>
      <c r="P100" s="110"/>
      <c r="Q100" s="103">
        <v>20000</v>
      </c>
      <c r="R100" s="109">
        <v>0.028</v>
      </c>
      <c r="S100" s="110"/>
      <c r="T100" s="103">
        <v>20000</v>
      </c>
      <c r="U100" s="109">
        <v>0.0298</v>
      </c>
      <c r="V100" s="110"/>
      <c r="W100" s="103">
        <v>20000</v>
      </c>
      <c r="X100" s="109">
        <v>0.033</v>
      </c>
      <c r="Y100" s="110"/>
      <c r="Z100" s="103">
        <v>20000</v>
      </c>
      <c r="AA100" s="109">
        <v>0.036</v>
      </c>
      <c r="AB100" s="110"/>
      <c r="AC100" s="103">
        <v>20000</v>
      </c>
      <c r="AD100" s="109">
        <v>0.0385</v>
      </c>
      <c r="AE100" s="110"/>
      <c r="AF100" s="103">
        <v>20000</v>
      </c>
      <c r="AG100" s="109">
        <v>0.0418</v>
      </c>
      <c r="AH100" s="110"/>
      <c r="AI100" s="103">
        <v>20000</v>
      </c>
      <c r="AJ100" s="109">
        <v>0.046</v>
      </c>
      <c r="AK100" s="111"/>
    </row>
    <row r="101" spans="2:37" ht="12.75" customHeight="1">
      <c r="B101" s="103"/>
      <c r="C101" s="112">
        <f>IF(AND(C79&gt;20000,C79&lt;=30000),(C100+(C102-C100)*(C79-B100)/(B102-B100)),0)</f>
        <v>0</v>
      </c>
      <c r="D101" s="112">
        <f>C101</f>
        <v>0</v>
      </c>
      <c r="E101" s="112"/>
      <c r="F101" s="112">
        <f>IF(AND(F79&gt;20000,F79&lt;=30000),(F100+(F102-F100)*(F79-E100)/(E102-E100)),0)</f>
        <v>0</v>
      </c>
      <c r="G101" s="112">
        <f>F101</f>
        <v>0</v>
      </c>
      <c r="H101" s="112"/>
      <c r="I101" s="112">
        <f>IF(AND(I79&gt;20000,I79&lt;=30000),(I100+(I102-I100)*(I79-H100)/(H102-H100)),0)</f>
        <v>0</v>
      </c>
      <c r="J101" s="112">
        <f>I101</f>
        <v>0</v>
      </c>
      <c r="K101" s="112"/>
      <c r="L101" s="112">
        <f>IF(AND(L79&gt;20000,L79&lt;=30000),(L100+(L102-L100)*(L79-K100)/(K102-K100)),0)</f>
        <v>0</v>
      </c>
      <c r="M101" s="112">
        <f>L101</f>
        <v>0</v>
      </c>
      <c r="N101" s="112"/>
      <c r="O101" s="112">
        <f>IF(AND(O79&gt;20000,O79&lt;=30000),(O100+(O102-O100)*(O79-N100)/(N102-N100)),0)</f>
        <v>0</v>
      </c>
      <c r="P101" s="112">
        <f>O101</f>
        <v>0</v>
      </c>
      <c r="Q101" s="112"/>
      <c r="R101" s="112">
        <f>IF(AND(R79&gt;20000,R79&lt;=30000),(R100+(R102-R100)*(R79-Q100)/(Q102-Q100)),0)</f>
        <v>0</v>
      </c>
      <c r="S101" s="112">
        <f>R101</f>
        <v>0</v>
      </c>
      <c r="T101" s="112"/>
      <c r="U101" s="112">
        <f>IF(AND(U79&gt;20000,U79&lt;=30000),(U100+(U102-U100)*(U79-T100)/(T102-T100)),0)</f>
        <v>0</v>
      </c>
      <c r="V101" s="112">
        <f>U101</f>
        <v>0</v>
      </c>
      <c r="W101" s="112"/>
      <c r="X101" s="112">
        <f>IF(AND(X79&gt;20000,X79&lt;=30000),(X100+(X102-X100)*(X79-W100)/(W102-W100)),0)</f>
        <v>0</v>
      </c>
      <c r="Y101" s="112">
        <f>X101</f>
        <v>0</v>
      </c>
      <c r="Z101" s="112"/>
      <c r="AA101" s="112">
        <f>IF(AND(AA79&gt;20000,AA79&lt;=30000),(AA100+(AA102-AA100)*(AA79-Z100)/(Z102-Z100)),0)</f>
        <v>0</v>
      </c>
      <c r="AB101" s="112">
        <f>AA101</f>
        <v>0</v>
      </c>
      <c r="AC101" s="112"/>
      <c r="AD101" s="112">
        <f>IF(AND(AD79&gt;20000,AD79&lt;=30000),(AD100+(AD102-AD100)*(AD79-AC100)/(AC102-AC100)),0)</f>
        <v>0</v>
      </c>
      <c r="AE101" s="112">
        <f>AD101</f>
        <v>0</v>
      </c>
      <c r="AF101" s="112"/>
      <c r="AG101" s="112">
        <f>IF(AND(AG79&gt;20000,AG79&lt;=30000),(AG100+(AG102-AG100)*(AG79-AF100)/(AF102-AF100)),0)</f>
        <v>0</v>
      </c>
      <c r="AH101" s="112">
        <f>AG101</f>
        <v>0</v>
      </c>
      <c r="AI101" s="112"/>
      <c r="AJ101" s="112">
        <f>IF(AND(AJ79&gt;20000,AJ79&lt;=30000),(AJ100+(AJ102-AJ100)*(AJ79-AI100)/(AI102-AI100)),0)</f>
        <v>0</v>
      </c>
      <c r="AK101" s="112">
        <f>AJ101</f>
        <v>0</v>
      </c>
    </row>
    <row r="102" spans="2:37" ht="12.75" customHeight="1">
      <c r="B102" s="103">
        <v>30000</v>
      </c>
      <c r="C102" s="109">
        <v>0.0235</v>
      </c>
      <c r="D102" s="110"/>
      <c r="E102" s="103">
        <v>30000</v>
      </c>
      <c r="F102" s="109">
        <v>0.0243</v>
      </c>
      <c r="G102" s="110"/>
      <c r="H102" s="103">
        <v>30000</v>
      </c>
      <c r="I102" s="109">
        <v>0.0248</v>
      </c>
      <c r="J102" s="110"/>
      <c r="K102" s="103">
        <v>30000</v>
      </c>
      <c r="L102" s="109">
        <v>0.0255</v>
      </c>
      <c r="M102" s="110"/>
      <c r="N102" s="103">
        <v>30000</v>
      </c>
      <c r="O102" s="109">
        <v>0.0257</v>
      </c>
      <c r="P102" s="110"/>
      <c r="Q102" s="103">
        <v>30000</v>
      </c>
      <c r="R102" s="109">
        <v>0.0262</v>
      </c>
      <c r="S102" s="110"/>
      <c r="T102" s="103">
        <v>30000</v>
      </c>
      <c r="U102" s="109">
        <v>0.028</v>
      </c>
      <c r="V102" s="110"/>
      <c r="W102" s="103">
        <v>30000</v>
      </c>
      <c r="X102" s="109">
        <v>0.0318</v>
      </c>
      <c r="Y102" s="110"/>
      <c r="Z102" s="103">
        <v>30000</v>
      </c>
      <c r="AA102" s="109">
        <v>0.0349</v>
      </c>
      <c r="AB102" s="110"/>
      <c r="AC102" s="103">
        <v>30000</v>
      </c>
      <c r="AD102" s="109">
        <v>0.0377</v>
      </c>
      <c r="AE102" s="110"/>
      <c r="AF102" s="103">
        <v>30000</v>
      </c>
      <c r="AG102" s="109">
        <v>0.04</v>
      </c>
      <c r="AH102" s="110"/>
      <c r="AI102" s="103">
        <v>30000</v>
      </c>
      <c r="AJ102" s="109">
        <v>0.0455</v>
      </c>
      <c r="AK102" s="111"/>
    </row>
    <row r="103" spans="2:37" ht="12.75" customHeight="1">
      <c r="B103" s="103"/>
      <c r="C103" s="112">
        <f>IF(AND(C79&gt;30000,C79&lt;=40000),(C102+(C104-C102)*(C79-B102)/(B104-B102)),0)</f>
        <v>0</v>
      </c>
      <c r="D103" s="112">
        <f>C103</f>
        <v>0</v>
      </c>
      <c r="E103" s="112"/>
      <c r="F103" s="112">
        <f>IF(AND(F79&gt;30000,F79&lt;=40000),(F102+(F104-F102)*(F79-E102)/(E104-E102)),0)</f>
        <v>0</v>
      </c>
      <c r="G103" s="112">
        <f>F103</f>
        <v>0</v>
      </c>
      <c r="H103" s="112"/>
      <c r="I103" s="112">
        <f>IF(AND(I79&gt;30000,I79&lt;=40000),(I102+(I104-I102)*(I79-H102)/(H104-H102)),0)</f>
        <v>0</v>
      </c>
      <c r="J103" s="112">
        <f>I103</f>
        <v>0</v>
      </c>
      <c r="K103" s="112"/>
      <c r="L103" s="112">
        <f>IF(AND(L79&gt;30000,L79&lt;=40000),(L102+(L104-L102)*(L79-K102)/(K104-K102)),0)</f>
        <v>0</v>
      </c>
      <c r="M103" s="112">
        <f>L103</f>
        <v>0</v>
      </c>
      <c r="N103" s="112"/>
      <c r="O103" s="112">
        <f>IF(AND(O79&gt;30000,O79&lt;=40000),(O102+(O104-O102)*(O79-N102)/(N104-N102)),0)</f>
        <v>0</v>
      </c>
      <c r="P103" s="112">
        <f>O103</f>
        <v>0</v>
      </c>
      <c r="Q103" s="112"/>
      <c r="R103" s="112">
        <f>IF(AND(R79&gt;30000,R79&lt;=40000),(R102+(R104-R102)*(R79-Q102)/(Q104-Q102)),0)</f>
        <v>0</v>
      </c>
      <c r="S103" s="112">
        <f>R103</f>
        <v>0</v>
      </c>
      <c r="T103" s="112"/>
      <c r="U103" s="112">
        <f>IF(AND(U79&gt;30000,U79&lt;=40000),(U102+(U104-U102)*(U79-T102)/(T104-T102)),0)</f>
        <v>0</v>
      </c>
      <c r="V103" s="112">
        <f>U103</f>
        <v>0</v>
      </c>
      <c r="W103" s="112"/>
      <c r="X103" s="112">
        <f>IF(AND(X79&gt;30000,X79&lt;=40000),(X102+(X104-X102)*(X79-W102)/(W104-W102)),0)</f>
        <v>0</v>
      </c>
      <c r="Y103" s="112">
        <f>X103</f>
        <v>0</v>
      </c>
      <c r="Z103" s="112"/>
      <c r="AA103" s="112">
        <f>IF(AND(AA79&gt;30000,AA79&lt;=40000),(AA102+(AA104-AA102)*(AA79-Z102)/(Z104-Z102)),0)</f>
        <v>0</v>
      </c>
      <c r="AB103" s="112">
        <f>AA103</f>
        <v>0</v>
      </c>
      <c r="AC103" s="112"/>
      <c r="AD103" s="112">
        <f>IF(AND(AD79&gt;30000,AD79&lt;=40000),(AD102+(AD104-AD102)*(AD79-AC102)/(AC104-AC102)),0)</f>
        <v>0</v>
      </c>
      <c r="AE103" s="112">
        <f>AD103</f>
        <v>0</v>
      </c>
      <c r="AF103" s="112"/>
      <c r="AG103" s="112">
        <f>IF(AND(AG79&gt;30000,AG79&lt;=40000),(AG102+(AG104-AG102)*(AG79-AF102)/(AF104-AF102)),0)</f>
        <v>0</v>
      </c>
      <c r="AH103" s="112">
        <f>AG103</f>
        <v>0</v>
      </c>
      <c r="AI103" s="112"/>
      <c r="AJ103" s="112">
        <f>IF(AND(AJ79&gt;30000,AJ79&lt;=40000),(AJ102+(AJ104-AJ102)*(AJ79-AI102)/(AI104-AI102)),0)</f>
        <v>0</v>
      </c>
      <c r="AK103" s="112">
        <f>AJ103</f>
        <v>0</v>
      </c>
    </row>
    <row r="104" spans="2:37" ht="12.75" customHeight="1">
      <c r="B104" s="103">
        <v>40000</v>
      </c>
      <c r="C104" s="109">
        <v>0.0225</v>
      </c>
      <c r="D104" s="110"/>
      <c r="E104" s="103">
        <v>40000</v>
      </c>
      <c r="F104" s="109">
        <v>0.0228</v>
      </c>
      <c r="G104" s="110"/>
      <c r="H104" s="103">
        <v>40000</v>
      </c>
      <c r="I104" s="109">
        <v>0.0235</v>
      </c>
      <c r="J104" s="110"/>
      <c r="K104" s="103">
        <v>40000</v>
      </c>
      <c r="L104" s="109">
        <v>0.024</v>
      </c>
      <c r="M104" s="110"/>
      <c r="N104" s="103">
        <v>40000</v>
      </c>
      <c r="O104" s="109">
        <v>0.0246</v>
      </c>
      <c r="P104" s="110"/>
      <c r="Q104" s="103">
        <v>40000</v>
      </c>
      <c r="R104" s="109">
        <v>0.025</v>
      </c>
      <c r="S104" s="110"/>
      <c r="T104" s="103">
        <v>40000</v>
      </c>
      <c r="U104" s="109">
        <v>0.0272</v>
      </c>
      <c r="V104" s="110"/>
      <c r="W104" s="103">
        <v>40000</v>
      </c>
      <c r="X104" s="109">
        <v>0.031</v>
      </c>
      <c r="Y104" s="110"/>
      <c r="Z104" s="103">
        <v>40000</v>
      </c>
      <c r="AA104" s="109">
        <v>0.034</v>
      </c>
      <c r="AB104" s="110"/>
      <c r="AC104" s="103">
        <v>40000</v>
      </c>
      <c r="AD104" s="109">
        <v>0.0372</v>
      </c>
      <c r="AE104" s="110"/>
      <c r="AF104" s="103">
        <v>40000</v>
      </c>
      <c r="AG104" s="109">
        <v>0.0396</v>
      </c>
      <c r="AH104" s="110"/>
      <c r="AI104" s="103">
        <v>40000</v>
      </c>
      <c r="AJ104" s="109">
        <v>0.0451</v>
      </c>
      <c r="AK104" s="111"/>
    </row>
    <row r="105" spans="2:37" ht="12.75" customHeight="1">
      <c r="B105" s="103"/>
      <c r="C105" s="112">
        <f>IF(AND(C79&gt;40000,C79&lt;=50000),(C104+(C106-C104)*(C79-B104)/(B106-B104)),0)</f>
        <v>0</v>
      </c>
      <c r="D105" s="112">
        <f>C105</f>
        <v>0</v>
      </c>
      <c r="E105" s="103"/>
      <c r="F105" s="112">
        <f>IF(AND(F79&gt;40000,F79&lt;=50000),(F104+(F106-F104)*(F79-E104)/(E106-E104)),0)</f>
        <v>0</v>
      </c>
      <c r="G105" s="112">
        <f>F105</f>
        <v>0</v>
      </c>
      <c r="H105" s="103"/>
      <c r="I105" s="112">
        <f>IF(AND(I79&gt;40000,I79&lt;=50000),(I104+(I106-I104)*(I79-H104)/(H106-H104)),0)</f>
        <v>0</v>
      </c>
      <c r="J105" s="112">
        <f>I105</f>
        <v>0</v>
      </c>
      <c r="K105" s="103"/>
      <c r="L105" s="112">
        <f>IF(AND(L79&gt;40000,L79&lt;=50000),(L104+(L106-L104)*(L79-K104)/(K106-K104)),0)</f>
        <v>0</v>
      </c>
      <c r="M105" s="112">
        <f>L105</f>
        <v>0</v>
      </c>
      <c r="N105" s="103"/>
      <c r="O105" s="112">
        <f>IF(AND(O79&gt;40000,O79&lt;=50000),(O104+(O106-O104)*(O79-N104)/(N106-N104)),0)</f>
        <v>0</v>
      </c>
      <c r="P105" s="112">
        <f>O105</f>
        <v>0</v>
      </c>
      <c r="Q105" s="103"/>
      <c r="R105" s="112">
        <f>IF(AND(R79&gt;40000,R79&lt;=50000),(R104+(R106-R104)*(R79-Q104)/(Q106-Q104)),0)</f>
        <v>0</v>
      </c>
      <c r="S105" s="112">
        <f>R105</f>
        <v>0</v>
      </c>
      <c r="T105" s="103"/>
      <c r="U105" s="112">
        <f>IF(AND(U79&gt;40000,U79&lt;=50000),(U104+(U106-U104)*(U79-T104)/(T106-T104)),0)</f>
        <v>0</v>
      </c>
      <c r="V105" s="112">
        <f>U105</f>
        <v>0</v>
      </c>
      <c r="W105" s="103"/>
      <c r="X105" s="112">
        <f>IF(AND(X79&gt;40000,X79&lt;=50000),(X104+(X106-X104)*(X79-W104)/(W106-W104)),0)</f>
        <v>0</v>
      </c>
      <c r="Y105" s="112">
        <f>X105</f>
        <v>0</v>
      </c>
      <c r="Z105" s="103"/>
      <c r="AA105" s="112">
        <f>IF(AND(AA79&gt;40000,AA79&lt;=50000),(AA104+(AA106-AA104)*(AA79-Z104)/(Z106-Z104)),0)</f>
        <v>0</v>
      </c>
      <c r="AB105" s="112">
        <f>AA105</f>
        <v>0</v>
      </c>
      <c r="AC105" s="103"/>
      <c r="AD105" s="112">
        <f>IF(AND(AD79&gt;40000,AD79&lt;=50000),(AD104+(AD106-AD104)*(AD79-AC104)/(AC106-AC104)),0)</f>
        <v>0</v>
      </c>
      <c r="AE105" s="112">
        <f>AD105</f>
        <v>0</v>
      </c>
      <c r="AF105" s="103"/>
      <c r="AG105" s="112">
        <f>IF(AND(AG79&gt;40000,AG79&lt;=50000),(AG104+(AG106-AG104)*(AG79-AF104)/(AF106-AF104)),0)</f>
        <v>0</v>
      </c>
      <c r="AH105" s="112">
        <f>AG105</f>
        <v>0</v>
      </c>
      <c r="AI105" s="103"/>
      <c r="AJ105" s="112">
        <f>IF(AND(AJ79&gt;40000,AJ79&lt;=50000),(AJ104+(AJ106-AJ104)*(AJ79-AI104)/(AI106-AI104)),0)</f>
        <v>0</v>
      </c>
      <c r="AK105" s="112">
        <f>AJ105</f>
        <v>0</v>
      </c>
    </row>
    <row r="106" spans="2:37" ht="12.75" customHeight="1">
      <c r="B106" s="103">
        <v>50000</v>
      </c>
      <c r="C106" s="109">
        <v>0.0213</v>
      </c>
      <c r="D106" s="110"/>
      <c r="E106" s="103">
        <v>50000</v>
      </c>
      <c r="F106" s="109">
        <v>0.0219</v>
      </c>
      <c r="G106" s="110"/>
      <c r="H106" s="103">
        <v>50000</v>
      </c>
      <c r="I106" s="109">
        <v>0.0225</v>
      </c>
      <c r="J106" s="110"/>
      <c r="K106" s="103">
        <v>50000</v>
      </c>
      <c r="L106" s="109">
        <v>0.023</v>
      </c>
      <c r="M106" s="110"/>
      <c r="N106" s="103">
        <v>50000</v>
      </c>
      <c r="O106" s="109">
        <v>0.0237</v>
      </c>
      <c r="P106" s="110"/>
      <c r="Q106" s="103">
        <v>50000</v>
      </c>
      <c r="R106" s="109">
        <v>0.0242</v>
      </c>
      <c r="S106" s="110"/>
      <c r="T106" s="103">
        <v>50000</v>
      </c>
      <c r="U106" s="109">
        <v>0.0268</v>
      </c>
      <c r="V106" s="110"/>
      <c r="W106" s="103">
        <v>50000</v>
      </c>
      <c r="X106" s="109">
        <v>0.0304</v>
      </c>
      <c r="Y106" s="110"/>
      <c r="Z106" s="103">
        <v>50000</v>
      </c>
      <c r="AA106" s="109">
        <v>0.0339</v>
      </c>
      <c r="AB106" s="110"/>
      <c r="AC106" s="103">
        <v>50000</v>
      </c>
      <c r="AD106" s="109">
        <v>0.0368</v>
      </c>
      <c r="AE106" s="110"/>
      <c r="AF106" s="103">
        <v>50000</v>
      </c>
      <c r="AG106" s="109">
        <v>0.0393</v>
      </c>
      <c r="AH106" s="110"/>
      <c r="AI106" s="103">
        <v>50000</v>
      </c>
      <c r="AJ106" s="109">
        <v>0.045</v>
      </c>
      <c r="AK106" s="111"/>
    </row>
    <row r="107" spans="2:37" ht="12.75" customHeight="1">
      <c r="B107" s="103"/>
      <c r="C107" s="112">
        <f>IF(AND(C79&gt;50000,C79&lt;=60000),(C106+(C108-C106)*(C79-B106)/(B108-B106)),0)</f>
        <v>0</v>
      </c>
      <c r="D107" s="112">
        <f>C107</f>
        <v>0</v>
      </c>
      <c r="E107" s="103"/>
      <c r="F107" s="112">
        <f>IF(AND(F79&gt;50000,F79&lt;=60000),(F106+(F108-F106)*(F79-E106)/(E108-E106)),0)</f>
        <v>0</v>
      </c>
      <c r="G107" s="112">
        <f>F107</f>
        <v>0</v>
      </c>
      <c r="H107" s="103"/>
      <c r="I107" s="112">
        <f>IF(AND(I79&gt;50000,I79&lt;=60000),(I106+(I108-I106)*(I79-H106)/(H108-H106)),0)</f>
        <v>0</v>
      </c>
      <c r="J107" s="112">
        <f>I107</f>
        <v>0</v>
      </c>
      <c r="K107" s="103"/>
      <c r="L107" s="112">
        <f>IF(AND(L79&gt;50000,L79&lt;=60000),(L106+(L108-L106)*(L79-K106)/(K108-K106)),0)</f>
        <v>0</v>
      </c>
      <c r="M107" s="112">
        <f>L107</f>
        <v>0</v>
      </c>
      <c r="N107" s="103"/>
      <c r="O107" s="112">
        <f>IF(AND(O79&gt;50000,O79&lt;=60000),(O106+(O108-O106)*(O79-N106)/(N108-N106)),0)</f>
        <v>0</v>
      </c>
      <c r="P107" s="112">
        <f>O107</f>
        <v>0</v>
      </c>
      <c r="Q107" s="103"/>
      <c r="R107" s="112">
        <f>IF(AND(R79&gt;50000,R79&lt;=60000),(R106+(R108-R106)*(R79-Q106)/(Q108-Q106)),0)</f>
        <v>0</v>
      </c>
      <c r="S107" s="112">
        <f>R107</f>
        <v>0</v>
      </c>
      <c r="T107" s="103"/>
      <c r="U107" s="112">
        <f>IF(AND(U79&gt;50000,U79&lt;=60000),(U106+(U108-U106)*(U79-T106)/(T108-T106)),0)</f>
        <v>0</v>
      </c>
      <c r="V107" s="112">
        <f>U107</f>
        <v>0</v>
      </c>
      <c r="W107" s="103"/>
      <c r="X107" s="112">
        <f>IF(AND(X79&gt;50000,X79&lt;=60000),(X106+(X108-X106)*(X79-W106)/(W108-W106)),0)</f>
        <v>0</v>
      </c>
      <c r="Y107" s="112">
        <f>X107</f>
        <v>0</v>
      </c>
      <c r="Z107" s="103"/>
      <c r="AA107" s="112">
        <f>IF(AND(AA79&gt;50000,AA79&lt;=60000),(AA106+(AA108-AA106)*(AA79-Z106)/(Z108-Z106)),0)</f>
        <v>0</v>
      </c>
      <c r="AB107" s="112">
        <f>AA107</f>
        <v>0</v>
      </c>
      <c r="AC107" s="103"/>
      <c r="AD107" s="112">
        <f>IF(AND(AD79&gt;50000,AD79&lt;=60000),(AD106+(AD108-AD106)*(AD79-AC106)/(AC108-AC106)),0)</f>
        <v>0</v>
      </c>
      <c r="AE107" s="112">
        <f>AD107</f>
        <v>0</v>
      </c>
      <c r="AF107" s="103"/>
      <c r="AG107" s="112">
        <f>IF(AND(AG79&gt;50000,AG79&lt;=60000),(AG106+(AG108-AG106)*(AG79-AF106)/(AF108-AF106)),0)</f>
        <v>0</v>
      </c>
      <c r="AH107" s="112">
        <f>AG107</f>
        <v>0</v>
      </c>
      <c r="AI107" s="103"/>
      <c r="AJ107" s="112">
        <f>IF(AND(AJ79&gt;50000,AJ79&lt;=60000),(AJ106+(AJ108-AJ106)*(AJ79-AI106)/(AI108-AI106)),0)</f>
        <v>0</v>
      </c>
      <c r="AK107" s="112">
        <f>AJ107</f>
        <v>0</v>
      </c>
    </row>
    <row r="108" spans="2:37" ht="12.75" customHeight="1">
      <c r="B108" s="103">
        <v>60000</v>
      </c>
      <c r="C108" s="109">
        <v>0.0205</v>
      </c>
      <c r="D108" s="110"/>
      <c r="E108" s="103">
        <v>60000</v>
      </c>
      <c r="F108" s="109">
        <v>0.021</v>
      </c>
      <c r="G108" s="110"/>
      <c r="H108" s="103">
        <v>60000</v>
      </c>
      <c r="I108" s="109">
        <v>0.0215</v>
      </c>
      <c r="J108" s="110"/>
      <c r="K108" s="103">
        <v>60000</v>
      </c>
      <c r="L108" s="109">
        <v>0.0225</v>
      </c>
      <c r="M108" s="110"/>
      <c r="N108" s="103">
        <v>60000</v>
      </c>
      <c r="O108" s="109">
        <v>0.023</v>
      </c>
      <c r="P108" s="110"/>
      <c r="Q108" s="103">
        <v>60000</v>
      </c>
      <c r="R108" s="109">
        <v>0.0237</v>
      </c>
      <c r="S108" s="110"/>
      <c r="T108" s="103">
        <v>60000</v>
      </c>
      <c r="U108" s="109">
        <v>0.0263</v>
      </c>
      <c r="V108" s="110"/>
      <c r="W108" s="103">
        <v>60000</v>
      </c>
      <c r="X108" s="109">
        <v>0.0301</v>
      </c>
      <c r="Y108" s="110"/>
      <c r="Z108" s="103">
        <v>60000</v>
      </c>
      <c r="AA108" s="109">
        <v>0.0336</v>
      </c>
      <c r="AB108" s="110"/>
      <c r="AC108" s="103">
        <v>60000</v>
      </c>
      <c r="AD108" s="109">
        <v>0.0365</v>
      </c>
      <c r="AE108" s="110"/>
      <c r="AF108" s="103">
        <v>60000</v>
      </c>
      <c r="AG108" s="109">
        <v>0.0391</v>
      </c>
      <c r="AH108" s="110"/>
      <c r="AI108" s="103">
        <v>60000</v>
      </c>
      <c r="AJ108" s="109">
        <v>0.0448</v>
      </c>
      <c r="AK108" s="111"/>
    </row>
    <row r="109" spans="2:37" ht="12.75" customHeight="1">
      <c r="B109" s="103"/>
      <c r="C109" s="112">
        <f>IF(AND(C79&gt;60000,C79&lt;=70000),(C108+(C110-C108)*(C79-B108)/(B110-B108)),0)</f>
        <v>0</v>
      </c>
      <c r="D109" s="112">
        <f>C109</f>
        <v>0</v>
      </c>
      <c r="E109" s="103"/>
      <c r="F109" s="112">
        <f>IF(AND(F79&gt;60000,F79&lt;=70000),(F108+(F110-F108)*(F79-E108)/(E110-E108)),0)</f>
        <v>0</v>
      </c>
      <c r="G109" s="112">
        <f>F109</f>
        <v>0</v>
      </c>
      <c r="H109" s="103"/>
      <c r="I109" s="112">
        <f>IF(AND(I79&gt;60000,I79&lt;=70000),(I108+(I110-I108)*(I79-H108)/(H110-H108)),0)</f>
        <v>0</v>
      </c>
      <c r="J109" s="112">
        <f>I109</f>
        <v>0</v>
      </c>
      <c r="K109" s="103"/>
      <c r="L109" s="112">
        <f>IF(AND(L79&gt;60000,L79&lt;=70000),(L108+(L110-L108)*(L79-K108)/(K110-K108)),0)</f>
        <v>0</v>
      </c>
      <c r="M109" s="112">
        <f>L109</f>
        <v>0</v>
      </c>
      <c r="N109" s="103"/>
      <c r="O109" s="112">
        <f>IF(AND(O79&gt;60000,O79&lt;=70000),(O108+(O110-O108)*(O79-N108)/(N110-N108)),0)</f>
        <v>0</v>
      </c>
      <c r="P109" s="112">
        <f>O109</f>
        <v>0</v>
      </c>
      <c r="Q109" s="103"/>
      <c r="R109" s="112">
        <f>IF(AND(R79&gt;60000,R79&lt;=70000),(R108+(R110-R108)*(R79-Q108)/(Q110-Q108)),0)</f>
        <v>0</v>
      </c>
      <c r="S109" s="112">
        <f>R109</f>
        <v>0</v>
      </c>
      <c r="T109" s="103"/>
      <c r="U109" s="112">
        <f>IF(AND(U79&gt;60000,U79&lt;=70000),(U108+(U110-U108)*(U79-T108)/(T110-T108)),0)</f>
        <v>0</v>
      </c>
      <c r="V109" s="112">
        <f>U109</f>
        <v>0</v>
      </c>
      <c r="W109" s="103"/>
      <c r="X109" s="112">
        <f>IF(AND(X79&gt;60000,X79&lt;=70000),(X108+(X110-X108)*(X79-W108)/(W110-W108)),0)</f>
        <v>0</v>
      </c>
      <c r="Y109" s="112">
        <f>X109</f>
        <v>0</v>
      </c>
      <c r="Z109" s="103"/>
      <c r="AA109" s="112">
        <f>IF(AND(AA79&gt;60000,AA79&lt;=70000),(AA108+(AA110-AA108)*(AA79-Z108)/(Z110-Z108)),0)</f>
        <v>0</v>
      </c>
      <c r="AB109" s="112">
        <f>AA109</f>
        <v>0</v>
      </c>
      <c r="AC109" s="103"/>
      <c r="AD109" s="112">
        <f>IF(AND(AD79&gt;60000,AD79&lt;=70000),(AD108+(AD110-AD108)*(AD79-AC108)/(AC110-AC108)),0)</f>
        <v>0</v>
      </c>
      <c r="AE109" s="112">
        <f>AD109</f>
        <v>0</v>
      </c>
      <c r="AF109" s="103"/>
      <c r="AG109" s="112">
        <f>IF(AND(AG79&gt;60000,AG79&lt;=70000),(AG108+(AG110-AG108)*(AG79-AF108)/(AF110-AF108)),0)</f>
        <v>0</v>
      </c>
      <c r="AH109" s="112">
        <f>AG109</f>
        <v>0</v>
      </c>
      <c r="AI109" s="103"/>
      <c r="AJ109" s="112">
        <f>IF(AND(AJ79&gt;60000,AJ79&lt;=70000),(AJ108+(AJ110-AJ108)*(AJ79-AI108)/(AI110-AI108)),0)</f>
        <v>0</v>
      </c>
      <c r="AK109" s="112">
        <f>AJ109</f>
        <v>0</v>
      </c>
    </row>
    <row r="110" spans="2:37" ht="12.75" customHeight="1">
      <c r="B110" s="103">
        <v>70000</v>
      </c>
      <c r="C110" s="109">
        <v>0.0198</v>
      </c>
      <c r="D110" s="110"/>
      <c r="E110" s="103">
        <v>70000</v>
      </c>
      <c r="F110" s="109">
        <v>0.0205</v>
      </c>
      <c r="G110" s="110"/>
      <c r="H110" s="103">
        <v>70000</v>
      </c>
      <c r="I110" s="109">
        <v>0.0212</v>
      </c>
      <c r="J110" s="110"/>
      <c r="K110" s="103">
        <v>70000</v>
      </c>
      <c r="L110" s="109">
        <v>0.0219</v>
      </c>
      <c r="M110" s="110"/>
      <c r="N110" s="103">
        <v>70000</v>
      </c>
      <c r="O110" s="109">
        <v>0.0227</v>
      </c>
      <c r="P110" s="110"/>
      <c r="Q110" s="103">
        <v>70000</v>
      </c>
      <c r="R110" s="109">
        <v>0.023</v>
      </c>
      <c r="S110" s="110"/>
      <c r="T110" s="103">
        <v>70000</v>
      </c>
      <c r="U110" s="109">
        <v>0.026</v>
      </c>
      <c r="V110" s="110"/>
      <c r="W110" s="103">
        <v>70000</v>
      </c>
      <c r="X110" s="109">
        <v>0.03</v>
      </c>
      <c r="Y110" s="110"/>
      <c r="Z110" s="103">
        <v>70000</v>
      </c>
      <c r="AA110" s="109">
        <v>0.0334</v>
      </c>
      <c r="AB110" s="110"/>
      <c r="AC110" s="103">
        <v>70000</v>
      </c>
      <c r="AD110" s="109">
        <v>0.0363</v>
      </c>
      <c r="AE110" s="110"/>
      <c r="AF110" s="103">
        <v>70000</v>
      </c>
      <c r="AG110" s="109">
        <v>0.0389</v>
      </c>
      <c r="AH110" s="110"/>
      <c r="AI110" s="103">
        <v>70000</v>
      </c>
      <c r="AJ110" s="109">
        <v>0.0445</v>
      </c>
      <c r="AK110" s="111"/>
    </row>
    <row r="111" spans="2:37" ht="12.75" customHeight="1">
      <c r="B111" s="103"/>
      <c r="C111" s="112">
        <f>IF(AND(C79&gt;70000,C79&lt;=80000),(C110+(C112-C110)*(C79-B110)/(B112-B110)),0)</f>
        <v>0</v>
      </c>
      <c r="D111" s="112">
        <f>C111</f>
        <v>0</v>
      </c>
      <c r="E111" s="103"/>
      <c r="F111" s="112">
        <f>IF(AND(F79&gt;70000,F79&lt;=80000),(F110+(F112-F110)*(F79-E110)/(E112-E110)),0)</f>
        <v>0</v>
      </c>
      <c r="G111" s="112">
        <f>F111</f>
        <v>0</v>
      </c>
      <c r="H111" s="103"/>
      <c r="I111" s="112">
        <f>IF(AND(I79&gt;70000,I79&lt;=80000),(I110+(I112-I110)*(I79-H110)/(H112-H110)),0)</f>
        <v>0</v>
      </c>
      <c r="J111" s="112">
        <f>I111</f>
        <v>0</v>
      </c>
      <c r="K111" s="103"/>
      <c r="L111" s="112">
        <f>IF(AND(L79&gt;70000,L79&lt;=80000),(L110+(L112-L110)*(L79-K110)/(K112-K110)),0)</f>
        <v>0</v>
      </c>
      <c r="M111" s="112">
        <f>L111</f>
        <v>0</v>
      </c>
      <c r="N111" s="103"/>
      <c r="O111" s="112">
        <f>IF(AND(O79&gt;70000,O79&lt;=80000),(O110+(O112-O110)*(O79-N110)/(N112-N110)),0)</f>
        <v>0</v>
      </c>
      <c r="P111" s="112">
        <f>O111</f>
        <v>0</v>
      </c>
      <c r="Q111" s="103"/>
      <c r="R111" s="112">
        <f>IF(AND(R79&gt;70000,R79&lt;=80000),(R110+(R112-R110)*(R79-Q110)/(Q112-Q110)),0)</f>
        <v>0</v>
      </c>
      <c r="S111" s="112">
        <f>R111</f>
        <v>0</v>
      </c>
      <c r="T111" s="103"/>
      <c r="U111" s="112">
        <f>IF(AND(U79&gt;70000,U79&lt;=80000),(U110+(U112-U110)*(U79-T110)/(T112-T110)),0)</f>
        <v>0</v>
      </c>
      <c r="V111" s="112">
        <f>U111</f>
        <v>0</v>
      </c>
      <c r="W111" s="103"/>
      <c r="X111" s="112">
        <f>IF(AND(X79&gt;70000,X79&lt;=80000),(X110+(X112-X110)*(X79-W110)/(W112-W110)),0)</f>
        <v>0</v>
      </c>
      <c r="Y111" s="112">
        <f>X111</f>
        <v>0</v>
      </c>
      <c r="Z111" s="103"/>
      <c r="AA111" s="112">
        <f>IF(AND(AA79&gt;70000,AA79&lt;=80000),(AA110+(AA112-AA110)*(AA79-Z110)/(Z112-Z110)),0)</f>
        <v>0</v>
      </c>
      <c r="AB111" s="112">
        <f>AA111</f>
        <v>0</v>
      </c>
      <c r="AC111" s="103"/>
      <c r="AD111" s="112">
        <f>IF(AND(AD79&gt;70000,AD79&lt;=80000),(AD110+(AD112-AD110)*(AD79-AC110)/(AC112-AC110)),0)</f>
        <v>0</v>
      </c>
      <c r="AE111" s="112">
        <f>AD111</f>
        <v>0</v>
      </c>
      <c r="AF111" s="103"/>
      <c r="AG111" s="112">
        <f>IF(AND(AG79&gt;70000,AG79&lt;=80000),(AG110+(AG112-AG110)*(AG79-AF110)/(AF112-AF110)),0)</f>
        <v>0</v>
      </c>
      <c r="AH111" s="112">
        <f>AG111</f>
        <v>0</v>
      </c>
      <c r="AI111" s="103"/>
      <c r="AJ111" s="112">
        <f>IF(AND(AJ79&gt;70000,AJ79&lt;=80000),(AJ110+(AJ112-AJ110)*(AJ79-AI110)/(AI112-AI110)),0)</f>
        <v>0</v>
      </c>
      <c r="AK111" s="112">
        <f>AJ111</f>
        <v>0</v>
      </c>
    </row>
    <row r="112" spans="2:37" ht="12.75" customHeight="1">
      <c r="B112" s="103">
        <v>80000</v>
      </c>
      <c r="C112" s="109">
        <v>0.0195</v>
      </c>
      <c r="D112" s="110"/>
      <c r="E112" s="103">
        <v>80000</v>
      </c>
      <c r="F112" s="109">
        <v>0.02</v>
      </c>
      <c r="G112" s="110"/>
      <c r="H112" s="103">
        <v>80000</v>
      </c>
      <c r="I112" s="109">
        <v>0.0208</v>
      </c>
      <c r="J112" s="110"/>
      <c r="K112" s="103">
        <v>80000</v>
      </c>
      <c r="L112" s="109">
        <v>0.0215</v>
      </c>
      <c r="M112" s="110"/>
      <c r="N112" s="103">
        <v>80000</v>
      </c>
      <c r="O112" s="109">
        <v>0.0222</v>
      </c>
      <c r="P112" s="110"/>
      <c r="Q112" s="103">
        <v>80000</v>
      </c>
      <c r="R112" s="109">
        <v>0.0228</v>
      </c>
      <c r="S112" s="110"/>
      <c r="T112" s="103">
        <v>80000</v>
      </c>
      <c r="U112" s="109">
        <v>0.0258</v>
      </c>
      <c r="V112" s="110"/>
      <c r="W112" s="103">
        <v>80000</v>
      </c>
      <c r="X112" s="109">
        <v>0.0299</v>
      </c>
      <c r="Y112" s="110"/>
      <c r="Z112" s="103">
        <v>80000</v>
      </c>
      <c r="AA112" s="109">
        <v>0.0332</v>
      </c>
      <c r="AB112" s="110"/>
      <c r="AC112" s="103">
        <v>80000</v>
      </c>
      <c r="AD112" s="109">
        <v>0.0362</v>
      </c>
      <c r="AE112" s="110"/>
      <c r="AF112" s="103">
        <v>80000</v>
      </c>
      <c r="AG112" s="109">
        <v>0.0387</v>
      </c>
      <c r="AH112" s="110"/>
      <c r="AI112" s="103">
        <v>80000</v>
      </c>
      <c r="AJ112" s="109">
        <v>0.0442</v>
      </c>
      <c r="AK112" s="111"/>
    </row>
    <row r="113" spans="2:37" ht="12.75" customHeight="1">
      <c r="B113" s="103"/>
      <c r="C113" s="112">
        <f>IF(AND(C79&gt;80000,C79&lt;=90000),(C112+(C114-C112)*(C79-B112)/(B114-B112)),0)</f>
        <v>0</v>
      </c>
      <c r="D113" s="112">
        <f>C113</f>
        <v>0</v>
      </c>
      <c r="E113" s="103"/>
      <c r="F113" s="112">
        <f>IF(AND(F79&gt;80000,F79&lt;=90000),(F112+(F114-F112)*(F79-E112)/(E114-E112)),0)</f>
        <v>0</v>
      </c>
      <c r="G113" s="112">
        <f>F113</f>
        <v>0</v>
      </c>
      <c r="H113" s="103"/>
      <c r="I113" s="112">
        <f>IF(AND(I79&gt;80000,I79&lt;=90000),(I112+(I114-I112)*(I79-H112)/(H114-H112)),0)</f>
        <v>0</v>
      </c>
      <c r="J113" s="112">
        <f>I113</f>
        <v>0</v>
      </c>
      <c r="K113" s="103"/>
      <c r="L113" s="112">
        <f>IF(AND(L79&gt;80000,L79&lt;=90000),(L112+(L114-L112)*(L79-K112)/(K114-K112)),0)</f>
        <v>0</v>
      </c>
      <c r="M113" s="112">
        <f>L113</f>
        <v>0</v>
      </c>
      <c r="N113" s="103"/>
      <c r="O113" s="112">
        <f>IF(AND(O79&gt;80000,O79&lt;=90000),(O112+(O114-O112)*(O79-N112)/(N114-N112)),0)</f>
        <v>0</v>
      </c>
      <c r="P113" s="112">
        <f>O113</f>
        <v>0</v>
      </c>
      <c r="Q113" s="103"/>
      <c r="R113" s="112">
        <f>IF(AND(R79&gt;80000,R79&lt;=90000),(R112+(R114-R112)*(R79-Q112)/(Q114-Q112)),0)</f>
        <v>0</v>
      </c>
      <c r="S113" s="112">
        <f>R113</f>
        <v>0</v>
      </c>
      <c r="T113" s="103"/>
      <c r="U113" s="112">
        <f>IF(AND(U79&gt;80000,U79&lt;=90000),(U112+(U114-U112)*(U79-T112)/(T114-T112)),0)</f>
        <v>0</v>
      </c>
      <c r="V113" s="112">
        <f>U113</f>
        <v>0</v>
      </c>
      <c r="W113" s="103"/>
      <c r="X113" s="112">
        <f>IF(AND(X79&gt;80000,X79&lt;=90000),(X112+(X114-X112)*(X79-W112)/(W114-W112)),0)</f>
        <v>0</v>
      </c>
      <c r="Y113" s="112">
        <f>X113</f>
        <v>0</v>
      </c>
      <c r="Z113" s="103"/>
      <c r="AA113" s="112">
        <f>IF(AND(AA79&gt;80000,AA79&lt;=90000),(AA112+(AA114-AA112)*(AA79-Z112)/(Z114-Z112)),0)</f>
        <v>0</v>
      </c>
      <c r="AB113" s="112">
        <f>AA113</f>
        <v>0</v>
      </c>
      <c r="AC113" s="103"/>
      <c r="AD113" s="112">
        <f>IF(AND(AD79&gt;80000,AD79&lt;=90000),(AD112+(AD114-AD112)*(AD79-AC112)/(AC114-AC112)),0)</f>
        <v>0</v>
      </c>
      <c r="AE113" s="112">
        <f>AD113</f>
        <v>0</v>
      </c>
      <c r="AF113" s="103"/>
      <c r="AG113" s="112">
        <f>IF(AND(AG79&gt;80000,AG79&lt;=90000),(AG112+(AG114-AG112)*(AG79-AF112)/(AF114-AF112)),0)</f>
        <v>0</v>
      </c>
      <c r="AH113" s="112">
        <f>AG113</f>
        <v>0</v>
      </c>
      <c r="AI113" s="103"/>
      <c r="AJ113" s="112">
        <f>IF(AND(AJ79&gt;80000,AJ79&lt;=90000),(AJ112+(AJ114-AJ112)*(AJ79-AI112)/(AI114-AI112)),0)</f>
        <v>0</v>
      </c>
      <c r="AK113" s="112">
        <f>AJ113</f>
        <v>0</v>
      </c>
    </row>
    <row r="114" spans="2:37" ht="12.75" customHeight="1">
      <c r="B114" s="103">
        <v>90000</v>
      </c>
      <c r="C114" s="109">
        <v>0.019</v>
      </c>
      <c r="D114" s="110"/>
      <c r="E114" s="103">
        <v>90000</v>
      </c>
      <c r="F114" s="109">
        <v>0.0195</v>
      </c>
      <c r="G114" s="110"/>
      <c r="H114" s="103">
        <v>90000</v>
      </c>
      <c r="I114" s="109">
        <v>0.0204</v>
      </c>
      <c r="J114" s="110"/>
      <c r="K114" s="103">
        <v>90000</v>
      </c>
      <c r="L114" s="109">
        <v>0.021</v>
      </c>
      <c r="M114" s="110"/>
      <c r="N114" s="103">
        <v>90000</v>
      </c>
      <c r="O114" s="109">
        <v>0.0219</v>
      </c>
      <c r="P114" s="110"/>
      <c r="Q114" s="103">
        <v>90000</v>
      </c>
      <c r="R114" s="109">
        <v>0.0225</v>
      </c>
      <c r="S114" s="110"/>
      <c r="T114" s="103">
        <v>90000</v>
      </c>
      <c r="U114" s="109">
        <v>0.0256</v>
      </c>
      <c r="V114" s="110"/>
      <c r="W114" s="103">
        <v>90000</v>
      </c>
      <c r="X114" s="109">
        <v>0.02985</v>
      </c>
      <c r="Y114" s="110"/>
      <c r="Z114" s="103">
        <v>90000</v>
      </c>
      <c r="AA114" s="109">
        <v>0.033</v>
      </c>
      <c r="AB114" s="110"/>
      <c r="AC114" s="103">
        <v>90000</v>
      </c>
      <c r="AD114" s="109">
        <v>0.0361</v>
      </c>
      <c r="AE114" s="110"/>
      <c r="AF114" s="103">
        <v>90000</v>
      </c>
      <c r="AG114" s="109">
        <v>0.0385</v>
      </c>
      <c r="AH114" s="110"/>
      <c r="AI114" s="103">
        <v>90000</v>
      </c>
      <c r="AJ114" s="109">
        <v>0.0441</v>
      </c>
      <c r="AK114" s="111"/>
    </row>
    <row r="115" spans="2:37" ht="12.75" customHeight="1">
      <c r="B115" s="103"/>
      <c r="C115" s="112">
        <f>IF(AND(C79&gt;90000,C79&lt;=100000),(C114+(C116-C114)*(C79-B114)/(B116-B114)),0)</f>
        <v>0</v>
      </c>
      <c r="D115" s="112">
        <f>C115</f>
        <v>0</v>
      </c>
      <c r="E115" s="103"/>
      <c r="F115" s="112">
        <f>IF(AND(F79&gt;90000,F79&lt;=100000),(F114+(F116-F114)*(F79-E114)/(E116-E114)),0)</f>
        <v>0</v>
      </c>
      <c r="G115" s="112">
        <f>F115</f>
        <v>0</v>
      </c>
      <c r="H115" s="103"/>
      <c r="I115" s="112">
        <f>IF(AND(I79&gt;90000,I79&lt;=100000),(I114+(I116-I114)*(I79-H114)/(H116-H114)),0)</f>
        <v>0</v>
      </c>
      <c r="J115" s="112">
        <f>I115</f>
        <v>0</v>
      </c>
      <c r="K115" s="103"/>
      <c r="L115" s="112">
        <f>IF(AND(L79&gt;90000,L79&lt;=100000),(L114+(L116-L114)*(L79-K114)/(K116-K114)),0)</f>
        <v>0</v>
      </c>
      <c r="M115" s="112">
        <f>L115</f>
        <v>0</v>
      </c>
      <c r="N115" s="103"/>
      <c r="O115" s="112">
        <f>IF(AND(O79&gt;90000,O79&lt;=100000),(O114+(O116-O114)*(O79-N114)/(N116-N114)),0)</f>
        <v>0</v>
      </c>
      <c r="P115" s="112">
        <f>O115</f>
        <v>0</v>
      </c>
      <c r="Q115" s="103"/>
      <c r="R115" s="112">
        <f>IF(AND(R79&gt;90000,R79&lt;=100000),(R114+(R116-R114)*(R79-Q114)/(Q116-Q114)),0)</f>
        <v>0</v>
      </c>
      <c r="S115" s="112">
        <f>R115</f>
        <v>0</v>
      </c>
      <c r="T115" s="103"/>
      <c r="U115" s="112">
        <f>IF(AND(U79&gt;90000,U79&lt;=100000),(U114+(U116-U114)*(U79-T114)/(T116-T114)),0)</f>
        <v>0</v>
      </c>
      <c r="V115" s="112">
        <f>U115</f>
        <v>0</v>
      </c>
      <c r="W115" s="103"/>
      <c r="X115" s="112">
        <f>IF(AND(X79&gt;90000,X79&lt;=100000),(X114+(X116-X114)*(X79-W114)/(W116-W114)),0)</f>
        <v>0</v>
      </c>
      <c r="Y115" s="112">
        <f>X115</f>
        <v>0</v>
      </c>
      <c r="Z115" s="103"/>
      <c r="AA115" s="112">
        <f>IF(AND(AA79&gt;90000,AA79&lt;=100000),(AA114+(AA116-AA114)*(AA79-Z114)/(Z116-Z114)),0)</f>
        <v>0</v>
      </c>
      <c r="AB115" s="112">
        <f>AA115</f>
        <v>0</v>
      </c>
      <c r="AC115" s="103"/>
      <c r="AD115" s="112">
        <f>IF(AND(AD79&gt;90000,AD79&lt;=100000),(AD114+(AD116-AD114)*(AD79-AC114)/(AC116-AC114)),0)</f>
        <v>0</v>
      </c>
      <c r="AE115" s="112">
        <f>AD115</f>
        <v>0</v>
      </c>
      <c r="AF115" s="103"/>
      <c r="AG115" s="112">
        <f>IF(AND(AG79&gt;90000,AG79&lt;=100000),(AG114+(AG116-AG114)*(AG79-AF114)/(AF116-AF114)),0)</f>
        <v>0</v>
      </c>
      <c r="AH115" s="112">
        <f>AG115</f>
        <v>0</v>
      </c>
      <c r="AI115" s="103"/>
      <c r="AJ115" s="112">
        <f>IF(AND(AJ79&gt;90000,AJ79&lt;=100000),(AJ114+(AJ116-AJ114)*(AJ79-AI114)/(AI116-AI114)),0)</f>
        <v>0</v>
      </c>
      <c r="AK115" s="112">
        <f>AJ115</f>
        <v>0</v>
      </c>
    </row>
    <row r="116" spans="2:37" ht="12.75" customHeight="1">
      <c r="B116" s="103">
        <v>100000</v>
      </c>
      <c r="C116" s="109">
        <v>0.0187</v>
      </c>
      <c r="D116" s="110"/>
      <c r="E116" s="103">
        <v>100000</v>
      </c>
      <c r="F116" s="109">
        <v>0.0193</v>
      </c>
      <c r="G116" s="110"/>
      <c r="H116" s="103">
        <v>100000</v>
      </c>
      <c r="I116" s="109">
        <v>0.02</v>
      </c>
      <c r="J116" s="110"/>
      <c r="K116" s="103">
        <v>100000</v>
      </c>
      <c r="L116" s="109">
        <v>0.0209</v>
      </c>
      <c r="M116" s="110"/>
      <c r="N116" s="103">
        <v>100000</v>
      </c>
      <c r="O116" s="109">
        <v>0.0217</v>
      </c>
      <c r="P116" s="110"/>
      <c r="Q116" s="103">
        <v>100000</v>
      </c>
      <c r="R116" s="109">
        <v>0.0222</v>
      </c>
      <c r="S116" s="110"/>
      <c r="T116" s="103">
        <v>100000</v>
      </c>
      <c r="U116" s="109">
        <v>0.0254</v>
      </c>
      <c r="V116" s="110"/>
      <c r="W116" s="103">
        <v>100000</v>
      </c>
      <c r="X116" s="109">
        <v>0.0298</v>
      </c>
      <c r="Y116" s="110"/>
      <c r="Z116" s="103">
        <v>100000</v>
      </c>
      <c r="AA116" s="109">
        <v>0.0328</v>
      </c>
      <c r="AB116" s="110"/>
      <c r="AC116" s="103">
        <v>100000</v>
      </c>
      <c r="AD116" s="109">
        <v>0.036</v>
      </c>
      <c r="AE116" s="110"/>
      <c r="AF116" s="103">
        <v>100000</v>
      </c>
      <c r="AG116" s="109">
        <v>0.0383</v>
      </c>
      <c r="AH116" s="110"/>
      <c r="AI116" s="103">
        <v>100000</v>
      </c>
      <c r="AJ116" s="109">
        <v>0.044</v>
      </c>
      <c r="AK116" s="111"/>
    </row>
    <row r="117" spans="2:37" ht="12.75" customHeight="1">
      <c r="B117" s="103"/>
      <c r="C117" s="112">
        <f>IF(AND(C79&gt;100000,C79&lt;=200000),(C116+(C118-C116)*(C79-B116)/(B118-B116)),0)</f>
        <v>0.01807668151830169</v>
      </c>
      <c r="D117" s="112">
        <f>C117</f>
        <v>0.01807668151830169</v>
      </c>
      <c r="E117" s="103"/>
      <c r="F117" s="112">
        <f>IF(AND(F79&gt;100000,F79&lt;=200000),(F116+(F118-F116)*(F79-E116)/(E118-E116)),0)</f>
        <v>0.01867668151830169</v>
      </c>
      <c r="G117" s="112">
        <f>F117</f>
        <v>0.01867668151830169</v>
      </c>
      <c r="H117" s="103"/>
      <c r="I117" s="112">
        <f>IF(AND(I79&gt;100000,I79&lt;=200000),(I116+(I118-I116)*(I79-H116)/(H118-H116)),0)</f>
        <v>0.019525090680610813</v>
      </c>
      <c r="J117" s="112">
        <f>I117</f>
        <v>0.019525090680610813</v>
      </c>
      <c r="K117" s="103"/>
      <c r="L117" s="112">
        <f>IF(AND(L79&gt;100000,L79&lt;=200000),(L116+(L118-L116)*(L79-K116)/(K118-K116)),0)</f>
        <v>0.02042509068061081</v>
      </c>
      <c r="M117" s="112">
        <f>L117</f>
        <v>0.02042509068061081</v>
      </c>
      <c r="N117" s="103"/>
      <c r="O117" s="112">
        <f>IF(AND(O79&gt;100000,O79&lt;=200000),(O116+(O118-O116)*(O79-N116)/(N118-N116)),0)</f>
        <v>0.02134381801045811</v>
      </c>
      <c r="P117" s="112">
        <f>O117</f>
        <v>0.02134381801045811</v>
      </c>
      <c r="Q117" s="103"/>
      <c r="R117" s="112">
        <f>IF(AND(R79&gt;100000,R79&lt;=200000),(R116+(R118-R116)*(R79-Q116)/(Q118-Q116)),0)</f>
        <v>0.021873499842919933</v>
      </c>
      <c r="S117" s="112">
        <f>R117</f>
        <v>0.021873499842919933</v>
      </c>
      <c r="T117" s="103"/>
      <c r="U117" s="112">
        <f>IF(AND(U79&gt;100000,U79&lt;=200000),(U116+(U118-U116)*(U79-T116)/(T118-T116)),0)</f>
        <v>0.02519222717276723</v>
      </c>
      <c r="V117" s="112">
        <f>U117</f>
        <v>0.02519222717276723</v>
      </c>
      <c r="W117" s="103"/>
      <c r="X117" s="112">
        <f>IF(AND(X79&gt;100000,X79&lt;=200000),(X116+(X118-X116)*(X79-W116)/(W118-W116)),0)</f>
        <v>0.029562545340305408</v>
      </c>
      <c r="Y117" s="112">
        <f>X117</f>
        <v>0.029562545340305408</v>
      </c>
      <c r="Z117" s="103"/>
      <c r="AA117" s="112">
        <f>IF(AND(AA79&gt;100000,AA79&lt;=200000),(AA116+(AA118-AA116)*(AA79-Z116)/(Z118-Z116)),0)</f>
        <v>0.03262190900522906</v>
      </c>
      <c r="AB117" s="112">
        <f>AA117</f>
        <v>0.03262190900522906</v>
      </c>
      <c r="AC117" s="103"/>
      <c r="AD117" s="112">
        <f>IF(AND(AD79&gt;100000,AD79&lt;=200000),(AD116+(AD118-AD116)*(AD79-AC116)/(AC118-AC116)),0)</f>
        <v>0.03594063633507635</v>
      </c>
      <c r="AE117" s="112">
        <f>AD117</f>
        <v>0.03594063633507635</v>
      </c>
      <c r="AF117" s="112"/>
      <c r="AG117" s="112">
        <f>IF(AND(AG79&gt;100000,AG79&lt;=200000),(AG116+(AG118-AG116)*(AG79-AF116)/(AF118-AF116)),0)</f>
        <v>0.038216890869106894</v>
      </c>
      <c r="AH117" s="112">
        <f>AG117</f>
        <v>0.038216890869106894</v>
      </c>
      <c r="AI117" s="103"/>
      <c r="AJ117" s="112">
        <f>IF(AJ79&gt;100000,0.044,0)</f>
        <v>0.044</v>
      </c>
      <c r="AK117" s="112">
        <f>AJ117</f>
        <v>0.044</v>
      </c>
    </row>
    <row r="118" spans="2:37" ht="12.75" customHeight="1">
      <c r="B118" s="103">
        <v>200000</v>
      </c>
      <c r="C118" s="109">
        <v>0.0166</v>
      </c>
      <c r="D118" s="110"/>
      <c r="E118" s="103">
        <v>200000</v>
      </c>
      <c r="F118" s="109">
        <v>0.0172</v>
      </c>
      <c r="G118" s="110"/>
      <c r="H118" s="103">
        <v>200000</v>
      </c>
      <c r="I118" s="109">
        <v>0.0184</v>
      </c>
      <c r="J118" s="110"/>
      <c r="K118" s="103">
        <v>200000</v>
      </c>
      <c r="L118" s="109">
        <v>0.0193</v>
      </c>
      <c r="M118" s="110"/>
      <c r="N118" s="103">
        <v>200000</v>
      </c>
      <c r="O118" s="109">
        <v>0.0205</v>
      </c>
      <c r="P118" s="110"/>
      <c r="Q118" s="103">
        <v>200000</v>
      </c>
      <c r="R118" s="109">
        <v>0.0211</v>
      </c>
      <c r="S118" s="110"/>
      <c r="T118" s="103">
        <v>200000</v>
      </c>
      <c r="U118" s="109">
        <v>0.0247</v>
      </c>
      <c r="V118" s="110"/>
      <c r="W118" s="103">
        <v>200000</v>
      </c>
      <c r="X118" s="109">
        <v>0.029</v>
      </c>
      <c r="Y118" s="110"/>
      <c r="Z118" s="103">
        <v>200000</v>
      </c>
      <c r="AA118" s="109">
        <v>0.0322</v>
      </c>
      <c r="AB118" s="110"/>
      <c r="AC118" s="103">
        <v>200000</v>
      </c>
      <c r="AD118" s="109">
        <v>0.0358</v>
      </c>
      <c r="AE118" s="110"/>
      <c r="AF118" s="103">
        <v>200000</v>
      </c>
      <c r="AG118" s="109">
        <v>0.03802</v>
      </c>
      <c r="AH118" s="110"/>
      <c r="AI118" s="103"/>
      <c r="AJ118" s="109"/>
      <c r="AK118" s="111"/>
    </row>
    <row r="119" spans="2:37" ht="12.75" customHeight="1">
      <c r="B119" s="103"/>
      <c r="C119" s="112">
        <f>IF(AND(C79&gt;200000,C79&lt;=300000),(C118+(C120-C118)*(C79-B118)/(B120-B118)),0)</f>
        <v>0</v>
      </c>
      <c r="D119" s="112">
        <f>C119</f>
        <v>0</v>
      </c>
      <c r="E119" s="103"/>
      <c r="F119" s="112">
        <f>IF(AND(F79&gt;200000,F79&lt;=300000),(F118+(F120-F118)*(F79-E118)/(E120-E118)),0)</f>
        <v>0</v>
      </c>
      <c r="G119" s="112">
        <f>F119</f>
        <v>0</v>
      </c>
      <c r="H119" s="103"/>
      <c r="I119" s="112">
        <f>IF(AND(I79&gt;200000,I79&lt;=300000),(I118+(I120-I118)*(I79-H118)/(H120-H118)),0)</f>
        <v>0</v>
      </c>
      <c r="J119" s="112">
        <f>I119</f>
        <v>0</v>
      </c>
      <c r="K119" s="103"/>
      <c r="L119" s="112">
        <f>IF(AND(L79&gt;200000,L79&lt;=300000),(L118+(L120-L118)*(L79-K118)/(K120-K118)),0)</f>
        <v>0</v>
      </c>
      <c r="M119" s="112">
        <f>L119</f>
        <v>0</v>
      </c>
      <c r="N119" s="103"/>
      <c r="O119" s="112">
        <f>IF(AND(O79&gt;200000,O79&lt;=300000),(O118+(O120-O118)*(O79-N118)/(N120-N118)),0)</f>
        <v>0</v>
      </c>
      <c r="P119" s="112">
        <f>O119</f>
        <v>0</v>
      </c>
      <c r="Q119" s="103"/>
      <c r="R119" s="112">
        <f>IF(AND(R79&gt;200000,R79&lt;=300000),(R118+(R120-R118)*(R79-Q118)/(Q120-Q118)),0)</f>
        <v>0</v>
      </c>
      <c r="S119" s="112">
        <f>R119</f>
        <v>0</v>
      </c>
      <c r="T119" s="103"/>
      <c r="U119" s="112">
        <f>IF(AND(U79&gt;200000,U79&lt;=300000),(U118+(U120-U118)*(U79-T118)/(T120-T118)),0)</f>
        <v>0</v>
      </c>
      <c r="V119" s="112">
        <f>U119</f>
        <v>0</v>
      </c>
      <c r="W119" s="103"/>
      <c r="X119" s="112">
        <f>IF(AND(X79&gt;200000,X79&lt;=300000),(X118+(X120-X118)*(X79-W118)/(W120-W118)),0)</f>
        <v>0</v>
      </c>
      <c r="Y119" s="112">
        <f>X119</f>
        <v>0</v>
      </c>
      <c r="Z119" s="103"/>
      <c r="AA119" s="112">
        <f>IF(AND(AA79&gt;200000,AA79&lt;=300000),(AA118+(AA120-AA118)*(AA79-Z118)/(Z120-Z118)),0)</f>
        <v>0</v>
      </c>
      <c r="AB119" s="112">
        <f>AA119</f>
        <v>0</v>
      </c>
      <c r="AC119" s="103"/>
      <c r="AD119" s="112">
        <f>IF(AND(AD79&gt;200000,AD79&lt;=300000),(AD118+(AD120-AD118)*(AD79-AC118)/(AC120-AC118)),0)</f>
        <v>0</v>
      </c>
      <c r="AE119" s="112">
        <f>AD119</f>
        <v>0</v>
      </c>
      <c r="AF119" s="103"/>
      <c r="AG119" s="112">
        <f>IF(AND(AG79&gt;200000,AG79&lt;=300000),(AG118+(AG120-AG118)*(AG79-AF118)/(AF120-AF118)),0)</f>
        <v>0</v>
      </c>
      <c r="AH119" s="112">
        <f>AG119</f>
        <v>0</v>
      </c>
      <c r="AI119" s="103"/>
      <c r="AJ119" s="109"/>
      <c r="AK119" s="112"/>
    </row>
    <row r="120" spans="2:37" ht="12.75" customHeight="1">
      <c r="B120" s="103">
        <v>300000</v>
      </c>
      <c r="C120" s="109">
        <v>0.0157</v>
      </c>
      <c r="D120" s="110"/>
      <c r="E120" s="103">
        <v>300000</v>
      </c>
      <c r="F120" s="109">
        <v>0.0162</v>
      </c>
      <c r="G120" s="110"/>
      <c r="H120" s="103">
        <v>300000</v>
      </c>
      <c r="I120" s="109">
        <v>0.0178</v>
      </c>
      <c r="J120" s="110"/>
      <c r="K120" s="103">
        <v>300000</v>
      </c>
      <c r="L120" s="109">
        <v>0.0187</v>
      </c>
      <c r="M120" s="110"/>
      <c r="N120" s="103">
        <v>300000</v>
      </c>
      <c r="O120" s="109">
        <v>0.0198</v>
      </c>
      <c r="P120" s="110"/>
      <c r="Q120" s="103">
        <v>300000</v>
      </c>
      <c r="R120" s="109">
        <v>0.0208</v>
      </c>
      <c r="S120" s="110"/>
      <c r="T120" s="103">
        <v>300000</v>
      </c>
      <c r="U120" s="109">
        <v>0.0243</v>
      </c>
      <c r="V120" s="110"/>
      <c r="W120" s="103">
        <v>300000</v>
      </c>
      <c r="X120" s="109">
        <v>0.0289</v>
      </c>
      <c r="Y120" s="110"/>
      <c r="Z120" s="103">
        <v>300000</v>
      </c>
      <c r="AA120" s="109">
        <v>0.032</v>
      </c>
      <c r="AC120" s="103">
        <v>300000</v>
      </c>
      <c r="AD120" s="109">
        <v>0.0356</v>
      </c>
      <c r="AF120" s="103">
        <v>300000</v>
      </c>
      <c r="AG120" s="109">
        <v>0.038</v>
      </c>
      <c r="AI120" s="103"/>
      <c r="AJ120" s="109"/>
      <c r="AK120" s="111"/>
    </row>
    <row r="121" spans="2:37" ht="12.75" customHeight="1">
      <c r="B121" s="103"/>
      <c r="C121" s="112">
        <f>IF(AND(C79&gt;300000,C79&lt;=400000),(C120+(C122-C120)*(C79-B120)/(B122-B120)),0)</f>
        <v>0</v>
      </c>
      <c r="D121" s="112">
        <f>C121</f>
        <v>0</v>
      </c>
      <c r="E121" s="103"/>
      <c r="F121" s="112">
        <f>IF(AND(F79&gt;300000,F79&lt;=400000),(F120+(F122-F120)*(F79-E120)/(E122-E120)),0)</f>
        <v>0</v>
      </c>
      <c r="G121" s="112">
        <f>F121</f>
        <v>0</v>
      </c>
      <c r="H121" s="103"/>
      <c r="I121" s="112">
        <f>IF(AND(I79&gt;300000,I79&lt;=400000),(I120+(I122-I120)*(I79-H120)/(H122-H120)),0)</f>
        <v>0</v>
      </c>
      <c r="J121" s="112">
        <f>I121</f>
        <v>0</v>
      </c>
      <c r="K121" s="103"/>
      <c r="L121" s="112">
        <f>IF(AND(L79&gt;300000,L79&lt;=400000),(L120+(L122-L120)*(L79-K120)/(K122-K120)),0)</f>
        <v>0</v>
      </c>
      <c r="M121" s="112">
        <f>L121</f>
        <v>0</v>
      </c>
      <c r="N121" s="103"/>
      <c r="O121" s="112">
        <f>IF(AND(O79&gt;300000,O79&lt;=400000),(O120+(O122-O120)*(O79-N120)/(N122-N120)),0)</f>
        <v>0</v>
      </c>
      <c r="P121" s="112">
        <f>O121</f>
        <v>0</v>
      </c>
      <c r="Q121" s="103"/>
      <c r="R121" s="112">
        <f>IF(AND(R79&gt;300000,R79&lt;=400000),(R120+(R122-R120)*(R79-Q120)/(Q122-Q120)),0)</f>
        <v>0</v>
      </c>
      <c r="S121" s="112">
        <f>R121</f>
        <v>0</v>
      </c>
      <c r="T121" s="103"/>
      <c r="U121" s="112">
        <f>IF(AND(U79&gt;300000,U79&lt;=400000),(U120+(U122-U120)*(U79-T120)/(T122-T120)),0)</f>
        <v>0</v>
      </c>
      <c r="V121" s="112">
        <f>U121</f>
        <v>0</v>
      </c>
      <c r="W121" s="103"/>
      <c r="X121" s="112">
        <f>IF(AND(X79&gt;300000,X79&lt;=400000),(X120+(X122-X120)*(X79-W120)/(W122-W120)),0)</f>
        <v>0</v>
      </c>
      <c r="Y121" s="112">
        <f>X121</f>
        <v>0</v>
      </c>
      <c r="Z121" s="103"/>
      <c r="AA121" s="112">
        <f>IF(AA79&gt;300000,0.032,0)</f>
        <v>0</v>
      </c>
      <c r="AB121" s="112">
        <f>AA121</f>
        <v>0</v>
      </c>
      <c r="AC121" s="103"/>
      <c r="AD121" s="112">
        <f>IF(AD79&gt;300000,0.0356,0)</f>
        <v>0</v>
      </c>
      <c r="AE121" s="112">
        <f>AD121</f>
        <v>0</v>
      </c>
      <c r="AF121" s="103"/>
      <c r="AG121" s="112">
        <f>IF(AG79&gt;300000,0.038,0)</f>
        <v>0</v>
      </c>
      <c r="AH121" s="112">
        <f>AG121</f>
        <v>0</v>
      </c>
      <c r="AI121" s="103"/>
      <c r="AJ121" s="109"/>
      <c r="AK121" s="112"/>
    </row>
    <row r="122" spans="2:37" ht="12.75" customHeight="1">
      <c r="B122" s="103">
        <v>400000</v>
      </c>
      <c r="C122" s="109">
        <v>0.0149</v>
      </c>
      <c r="D122" s="110"/>
      <c r="E122" s="103">
        <v>400000</v>
      </c>
      <c r="F122" s="109">
        <v>0.0158</v>
      </c>
      <c r="G122" s="110"/>
      <c r="H122" s="103">
        <v>400000</v>
      </c>
      <c r="I122" s="109">
        <v>0.0172</v>
      </c>
      <c r="J122" s="110"/>
      <c r="K122" s="103">
        <v>400000</v>
      </c>
      <c r="L122" s="109">
        <v>0.0184</v>
      </c>
      <c r="M122" s="110"/>
      <c r="N122" s="103">
        <v>400000</v>
      </c>
      <c r="O122" s="109">
        <v>0.0195</v>
      </c>
      <c r="P122" s="110"/>
      <c r="Q122" s="103">
        <v>400000</v>
      </c>
      <c r="R122" s="109">
        <v>0.0205</v>
      </c>
      <c r="S122" s="110"/>
      <c r="T122" s="103">
        <v>400000</v>
      </c>
      <c r="U122" s="109">
        <v>0.02406</v>
      </c>
      <c r="V122" s="110"/>
      <c r="W122" s="103">
        <v>400000</v>
      </c>
      <c r="X122" s="109">
        <v>0.028706</v>
      </c>
      <c r="Y122" s="110"/>
      <c r="Z122" s="103"/>
      <c r="AA122" s="109"/>
      <c r="AB122" s="110"/>
      <c r="AC122" s="103"/>
      <c r="AD122" s="109"/>
      <c r="AE122" s="110"/>
      <c r="AF122" s="103"/>
      <c r="AG122" s="109"/>
      <c r="AH122" s="110"/>
      <c r="AI122" s="103"/>
      <c r="AJ122" s="109"/>
      <c r="AK122" s="111"/>
    </row>
    <row r="123" spans="2:37" ht="12.75" customHeight="1">
      <c r="B123" s="103"/>
      <c r="C123" s="112">
        <f>IF(AND(C79&gt;400000,C79&lt;=500000),(C122+(C124-C122)*(C79-B122)/(B124-B122)),0)</f>
        <v>0</v>
      </c>
      <c r="D123" s="112">
        <f>C123</f>
        <v>0</v>
      </c>
      <c r="E123" s="103"/>
      <c r="F123" s="112">
        <f>IF(AND(F79&gt;400000,F79&lt;=500000),(F122+(F124-F122)*(F79-E122)/(E124-E122)),0)</f>
        <v>0</v>
      </c>
      <c r="G123" s="112">
        <f>F123</f>
        <v>0</v>
      </c>
      <c r="H123" s="103"/>
      <c r="I123" s="112">
        <f>IF(AND(I79&gt;400000,I79&lt;=500000),(I122+(I124-I122)*(I79-H122)/(H124-H122)),0)</f>
        <v>0</v>
      </c>
      <c r="J123" s="112">
        <f>I123</f>
        <v>0</v>
      </c>
      <c r="K123" s="103"/>
      <c r="L123" s="112">
        <f>IF(AND(L79&gt;400000,L79&lt;=500000),(L122+(L124-L122)*(L79-K122)/(K124-K122)),0)</f>
        <v>0</v>
      </c>
      <c r="M123" s="112">
        <f>L123</f>
        <v>0</v>
      </c>
      <c r="N123" s="103"/>
      <c r="O123" s="112">
        <f>IF(AND(O79&gt;400000,O79&lt;=500000),(O122+(O124-O122)*(O79-N122)/(N124-N122)),0)</f>
        <v>0</v>
      </c>
      <c r="P123" s="112">
        <f>O123</f>
        <v>0</v>
      </c>
      <c r="Q123" s="103"/>
      <c r="R123" s="112">
        <f>IF(AND(R79&gt;400000,R79&lt;=500000),(R122+(R124-R122)*(R79-Q122)/(Q124-Q122)),0)</f>
        <v>0</v>
      </c>
      <c r="S123" s="112">
        <f>R123</f>
        <v>0</v>
      </c>
      <c r="T123" s="103"/>
      <c r="U123" s="112">
        <f>IF(AND(U79&gt;400000,U79&lt;=500000),(U122+(U124-U122)*(U79-T122)/(T124-T122)),0)</f>
        <v>0</v>
      </c>
      <c r="V123" s="112">
        <f>U123</f>
        <v>0</v>
      </c>
      <c r="W123" s="103"/>
      <c r="X123" s="112">
        <f>IF(AND(X79&gt;400000,X79&lt;=500000),(X122+(X124-X122)*(X79-W122)/(W124-W122)),0)</f>
        <v>0</v>
      </c>
      <c r="Y123" s="112">
        <f>X123</f>
        <v>0</v>
      </c>
      <c r="Z123" s="103"/>
      <c r="AA123" s="109"/>
      <c r="AB123" s="112"/>
      <c r="AC123" s="103"/>
      <c r="AD123" s="109"/>
      <c r="AE123" s="112"/>
      <c r="AF123" s="103"/>
      <c r="AG123" s="109"/>
      <c r="AH123" s="112"/>
      <c r="AI123" s="103"/>
      <c r="AJ123" s="109"/>
      <c r="AK123" s="112"/>
    </row>
    <row r="124" spans="2:37" ht="12.75" customHeight="1">
      <c r="B124" s="103">
        <v>500000</v>
      </c>
      <c r="C124" s="109">
        <v>0.0145</v>
      </c>
      <c r="D124" s="110"/>
      <c r="E124" s="103">
        <v>500000</v>
      </c>
      <c r="F124" s="109">
        <v>0.0154</v>
      </c>
      <c r="G124" s="110"/>
      <c r="H124" s="103">
        <v>500000</v>
      </c>
      <c r="I124" s="109">
        <v>0.017</v>
      </c>
      <c r="J124" s="110"/>
      <c r="K124" s="103">
        <v>500000</v>
      </c>
      <c r="L124" s="109">
        <v>0.0182</v>
      </c>
      <c r="M124" s="110"/>
      <c r="N124" s="103">
        <v>500000</v>
      </c>
      <c r="O124" s="109">
        <v>0.0193</v>
      </c>
      <c r="P124" s="110"/>
      <c r="Q124" s="103">
        <v>500000</v>
      </c>
      <c r="R124" s="109">
        <v>0.0203</v>
      </c>
      <c r="S124" s="110"/>
      <c r="T124" s="103">
        <v>500000</v>
      </c>
      <c r="U124" s="109">
        <v>0.02404</v>
      </c>
      <c r="V124" s="110"/>
      <c r="W124" s="103">
        <v>500000</v>
      </c>
      <c r="X124" s="109">
        <v>0.028704</v>
      </c>
      <c r="Y124" s="110"/>
      <c r="Z124" s="103"/>
      <c r="AA124" s="109"/>
      <c r="AB124" s="110"/>
      <c r="AC124" s="103"/>
      <c r="AD124" s="109"/>
      <c r="AE124" s="110"/>
      <c r="AF124" s="103"/>
      <c r="AG124" s="109"/>
      <c r="AH124" s="110"/>
      <c r="AI124" s="103"/>
      <c r="AJ124" s="109"/>
      <c r="AK124" s="111"/>
    </row>
    <row r="125" spans="2:37" ht="12.75" customHeight="1">
      <c r="B125" s="103"/>
      <c r="C125" s="112">
        <f>IF(AND(C79&gt;500000,C79&lt;=600000),(C124+(C126-C124)*(C79-B124)/(B126-B124)),0)</f>
        <v>0</v>
      </c>
      <c r="D125" s="112">
        <f>C125</f>
        <v>0</v>
      </c>
      <c r="E125" s="103"/>
      <c r="F125" s="112">
        <f>IF(AND(F79&gt;500000,F79&lt;=600000),(F124+(F126-F124)*(F79-E124)/(E126-E124)),0)</f>
        <v>0</v>
      </c>
      <c r="G125" s="112">
        <f>F125</f>
        <v>0</v>
      </c>
      <c r="H125" s="103"/>
      <c r="I125" s="112">
        <f>IF(AND(I79&gt;500000,I79&lt;=600000),(I124+(I126-I124)*(I79-H124)/(H126-H124)),0)</f>
        <v>0</v>
      </c>
      <c r="J125" s="112">
        <f>I125</f>
        <v>0</v>
      </c>
      <c r="K125" s="103"/>
      <c r="L125" s="112">
        <f>IF(AND(L79&gt;500000,L79&lt;=600000),(L124+(L126-L124)*(L79-K124)/(K126-K124)),0)</f>
        <v>0</v>
      </c>
      <c r="M125" s="112">
        <f>L125</f>
        <v>0</v>
      </c>
      <c r="N125" s="103"/>
      <c r="O125" s="112">
        <f>IF(AND(O79&gt;500000,O79&lt;=600000),(O124+(O126-O124)*(O79-N124)/(N126-N124)),0)</f>
        <v>0</v>
      </c>
      <c r="P125" s="112">
        <f>O125</f>
        <v>0</v>
      </c>
      <c r="Q125" s="103"/>
      <c r="R125" s="112">
        <f>IF(AND(R79&gt;500000,R79&lt;=600000),(R124+(R126-R124)*(R79-Q124)/(Q126-Q124)),0)</f>
        <v>0</v>
      </c>
      <c r="S125" s="112">
        <f>R125</f>
        <v>0</v>
      </c>
      <c r="T125" s="103"/>
      <c r="U125" s="112">
        <f>IF(AND(U79&gt;500000,U79&lt;=600000),(U124+(U126-U124)*(U79-T124)/(T126-T124)),0)</f>
        <v>0</v>
      </c>
      <c r="V125" s="112">
        <f>U125</f>
        <v>0</v>
      </c>
      <c r="W125" s="103"/>
      <c r="X125" s="112">
        <f>IF(AND(X79&gt;500000,X79&lt;=600000),(X124+(X126-X124)*(X79-W124)/(W126-W124)),0)</f>
        <v>0</v>
      </c>
      <c r="Y125" s="112">
        <f>X125</f>
        <v>0</v>
      </c>
      <c r="Z125" s="103"/>
      <c r="AA125" s="109"/>
      <c r="AB125" s="112"/>
      <c r="AC125" s="103"/>
      <c r="AD125" s="109"/>
      <c r="AE125" s="112"/>
      <c r="AF125" s="103"/>
      <c r="AG125" s="109"/>
      <c r="AH125" s="112"/>
      <c r="AI125" s="103"/>
      <c r="AJ125" s="109"/>
      <c r="AK125" s="112"/>
    </row>
    <row r="126" spans="2:37" ht="12.75" customHeight="1">
      <c r="B126" s="103">
        <v>600000</v>
      </c>
      <c r="C126" s="109">
        <v>0.0142</v>
      </c>
      <c r="D126" s="110"/>
      <c r="E126" s="103">
        <v>600000</v>
      </c>
      <c r="F126" s="109">
        <v>0.0152</v>
      </c>
      <c r="G126" s="110"/>
      <c r="H126" s="103">
        <v>600000</v>
      </c>
      <c r="I126" s="109">
        <v>0.0169</v>
      </c>
      <c r="J126" s="110"/>
      <c r="K126" s="103">
        <v>600000</v>
      </c>
      <c r="L126" s="109">
        <v>0.01805</v>
      </c>
      <c r="M126" s="110"/>
      <c r="N126" s="103">
        <v>600000</v>
      </c>
      <c r="O126" s="109">
        <v>0.0192</v>
      </c>
      <c r="P126" s="110"/>
      <c r="Q126" s="103">
        <v>600000</v>
      </c>
      <c r="R126" s="109">
        <v>0.0201</v>
      </c>
      <c r="S126" s="110"/>
      <c r="T126" s="103">
        <v>600000</v>
      </c>
      <c r="U126" s="109">
        <v>0.02402</v>
      </c>
      <c r="V126" s="110"/>
      <c r="W126" s="103">
        <v>600000</v>
      </c>
      <c r="X126" s="109">
        <v>0.028702</v>
      </c>
      <c r="Y126" s="110"/>
      <c r="Z126" s="103"/>
      <c r="AA126" s="109"/>
      <c r="AB126" s="110"/>
      <c r="AC126" s="103"/>
      <c r="AD126" s="109"/>
      <c r="AE126" s="110"/>
      <c r="AF126" s="103"/>
      <c r="AG126" s="109"/>
      <c r="AH126" s="110"/>
      <c r="AI126" s="103"/>
      <c r="AJ126" s="109"/>
      <c r="AK126" s="111"/>
    </row>
    <row r="127" spans="2:37" ht="12.75" customHeight="1">
      <c r="B127" s="103"/>
      <c r="C127" s="112">
        <f>IF(AND(C79&gt;600000,C79&lt;=700000),(C126+(C128-C126)*(C79-B126)/(B128-B126)),0)</f>
        <v>0</v>
      </c>
      <c r="D127" s="112">
        <f>C127</f>
        <v>0</v>
      </c>
      <c r="E127" s="103"/>
      <c r="F127" s="112">
        <f>IF(AND(F79&gt;600000,F79&lt;=700000),(F126+(F128-F126)*(F79-E126)/(E128-E126)),0)</f>
        <v>0</v>
      </c>
      <c r="G127" s="112">
        <f>F127</f>
        <v>0</v>
      </c>
      <c r="H127" s="103"/>
      <c r="I127" s="112">
        <f>IF(AND(I79&gt;600000,I79&lt;=700000),(I126+(I128-I126)*(I79-H126)/(H128-H126)),0)</f>
        <v>0</v>
      </c>
      <c r="J127" s="112">
        <f>I127</f>
        <v>0</v>
      </c>
      <c r="K127" s="103"/>
      <c r="L127" s="112">
        <f>IF(AND(L79&gt;600000,L79&lt;=700000),(L126+(L128-L126)*(L79-K126)/(K128-K126)),0)</f>
        <v>0</v>
      </c>
      <c r="M127" s="112">
        <f>L127</f>
        <v>0</v>
      </c>
      <c r="N127" s="103"/>
      <c r="O127" s="112">
        <f>IF(AND(O79&gt;600000,O79&lt;=700000),(O126+(O128-O126)*(O79-N126)/(N128-N126)),0)</f>
        <v>0</v>
      </c>
      <c r="P127" s="112">
        <f>O127</f>
        <v>0</v>
      </c>
      <c r="Q127" s="103"/>
      <c r="R127" s="112">
        <f>IF(AND(R79&gt;600000,R79&lt;=700000),(R126+(R128-R126)*(R79-Q126)/(Q128-Q126)),0)</f>
        <v>0</v>
      </c>
      <c r="S127" s="112">
        <f>R127</f>
        <v>0</v>
      </c>
      <c r="T127" s="103"/>
      <c r="U127" s="112">
        <f>IF(AND(U79&gt;600000,U79&lt;=700000),(U126+(U128-U126)*(U79-T126)/(T128-T126)),0)</f>
        <v>0</v>
      </c>
      <c r="V127" s="112">
        <f>U127</f>
        <v>0</v>
      </c>
      <c r="W127" s="103"/>
      <c r="X127" s="112">
        <f>IF(AND(X79&gt;600000,X79&lt;=700000),(X126+(X128-X126)*(X79-W126)/(W128-W126)),0)</f>
        <v>0</v>
      </c>
      <c r="Y127" s="112">
        <f>X127</f>
        <v>0</v>
      </c>
      <c r="Z127" s="103"/>
      <c r="AA127" s="109"/>
      <c r="AB127" s="112"/>
      <c r="AC127" s="103"/>
      <c r="AD127" s="109"/>
      <c r="AE127" s="112"/>
      <c r="AF127" s="103"/>
      <c r="AG127" s="109"/>
      <c r="AH127" s="112"/>
      <c r="AI127" s="103"/>
      <c r="AJ127" s="109"/>
      <c r="AK127" s="112"/>
    </row>
    <row r="128" spans="2:37" ht="12.75" customHeight="1">
      <c r="B128" s="103">
        <v>700000</v>
      </c>
      <c r="C128" s="109">
        <v>0.0139</v>
      </c>
      <c r="D128" s="110"/>
      <c r="E128" s="103">
        <v>700000</v>
      </c>
      <c r="F128" s="109">
        <v>0.015</v>
      </c>
      <c r="G128" s="110"/>
      <c r="H128" s="103">
        <v>700000</v>
      </c>
      <c r="I128" s="109">
        <v>0.0168</v>
      </c>
      <c r="J128" s="110"/>
      <c r="K128" s="103">
        <v>700000</v>
      </c>
      <c r="L128" s="109">
        <v>0.01803</v>
      </c>
      <c r="M128" s="110"/>
      <c r="N128" s="103">
        <v>700000</v>
      </c>
      <c r="O128" s="109">
        <v>0.0191</v>
      </c>
      <c r="P128" s="110"/>
      <c r="Q128" s="103">
        <v>700000</v>
      </c>
      <c r="R128" s="109">
        <v>0.02</v>
      </c>
      <c r="S128" s="110"/>
      <c r="T128" s="103">
        <v>700000</v>
      </c>
      <c r="U128" s="109">
        <v>0.024</v>
      </c>
      <c r="V128" s="110"/>
      <c r="W128" s="103">
        <v>700000</v>
      </c>
      <c r="X128" s="109">
        <v>0.0287</v>
      </c>
      <c r="Y128" s="110"/>
      <c r="Z128" s="103"/>
      <c r="AA128" s="109"/>
      <c r="AB128" s="110"/>
      <c r="AC128" s="103"/>
      <c r="AD128" s="109"/>
      <c r="AE128" s="110"/>
      <c r="AF128" s="103"/>
      <c r="AG128" s="109"/>
      <c r="AH128" s="110"/>
      <c r="AI128" s="103"/>
      <c r="AJ128" s="109"/>
      <c r="AK128" s="111"/>
    </row>
    <row r="129" spans="2:37" ht="12.75" customHeight="1">
      <c r="B129" s="103"/>
      <c r="C129" s="112">
        <f>IF(AND(C79&gt;700000,C79&lt;=800000),(C128+(C130-C128)*(C79-B128)/(B130-B128)),0)</f>
        <v>0</v>
      </c>
      <c r="D129" s="112">
        <f>C129</f>
        <v>0</v>
      </c>
      <c r="E129" s="103"/>
      <c r="F129" s="112">
        <f>IF(AND(F79&gt;700000,F79&lt;=800000),(F128+(F130-F128)*(F79-E128)/(E130-E128)),0)</f>
        <v>0</v>
      </c>
      <c r="G129" s="112">
        <f>F129</f>
        <v>0</v>
      </c>
      <c r="H129" s="103"/>
      <c r="I129" s="112">
        <f>IF(AND(I79&gt;700000,I79&lt;=800000),(I128+(I130-I128)*(I79-H128)/(H130-H128)),0)</f>
        <v>0</v>
      </c>
      <c r="J129" s="112">
        <f>I129</f>
        <v>0</v>
      </c>
      <c r="K129" s="103"/>
      <c r="L129" s="112">
        <f>IF(AND(L79&gt;700000,L79&lt;=800000),(L128+(L130-L128)*(L79-K128)/(K130-K128)),0)</f>
        <v>0</v>
      </c>
      <c r="M129" s="112">
        <f>L129</f>
        <v>0</v>
      </c>
      <c r="N129" s="103"/>
      <c r="O129" s="112">
        <f>IF(AND(O79&gt;700000,O79&lt;=800000),(O128+(O130-O128)*(O79-N128)/(N130-N128)),0)</f>
        <v>0</v>
      </c>
      <c r="P129" s="112">
        <f>O129</f>
        <v>0</v>
      </c>
      <c r="Q129" s="103"/>
      <c r="R129" s="112">
        <f>IF(AND(R79&gt;700000,R79&lt;=800000),(R128+(R130-R128)*(R79-Q128)/(Q130-Q128)),0)</f>
        <v>0</v>
      </c>
      <c r="S129" s="112">
        <f>R129</f>
        <v>0</v>
      </c>
      <c r="T129" s="103"/>
      <c r="U129" s="112">
        <f>IF(AND(U79&gt;700000,U79&lt;=800000),(U128+(U130-U128)*(U79-T128)/(T130-T128)),0)</f>
        <v>0</v>
      </c>
      <c r="V129" s="112">
        <f>U129</f>
        <v>0</v>
      </c>
      <c r="W129" s="103"/>
      <c r="X129" s="112">
        <f>IF(AND(X79&gt;700000,X79&lt;=800000),(X128+(X130-X128)*(X79-W128)/(W130-W128)),0)</f>
        <v>0</v>
      </c>
      <c r="Y129" s="112">
        <f>X129</f>
        <v>0</v>
      </c>
      <c r="Z129" s="103"/>
      <c r="AA129" s="109"/>
      <c r="AB129" s="112"/>
      <c r="AC129" s="103"/>
      <c r="AD129" s="109"/>
      <c r="AE129" s="112"/>
      <c r="AF129" s="103"/>
      <c r="AG129" s="109"/>
      <c r="AH129" s="112"/>
      <c r="AI129" s="103"/>
      <c r="AJ129" s="109"/>
      <c r="AK129" s="112"/>
    </row>
    <row r="130" spans="2:37" ht="12.75" customHeight="1">
      <c r="B130" s="103">
        <v>800000</v>
      </c>
      <c r="C130" s="109">
        <v>0.0137</v>
      </c>
      <c r="D130" s="110"/>
      <c r="E130" s="103">
        <v>800000</v>
      </c>
      <c r="F130" s="109">
        <v>0.0149</v>
      </c>
      <c r="G130" s="110"/>
      <c r="H130" s="103">
        <v>800000</v>
      </c>
      <c r="I130" s="109">
        <v>0.01682</v>
      </c>
      <c r="J130" s="110"/>
      <c r="K130" s="103">
        <v>800000</v>
      </c>
      <c r="L130" s="109">
        <v>0.01802</v>
      </c>
      <c r="M130" s="110"/>
      <c r="N130" s="103">
        <v>800000</v>
      </c>
      <c r="O130" s="109">
        <v>0.01906</v>
      </c>
      <c r="P130" s="110"/>
      <c r="Q130" s="103">
        <v>800000</v>
      </c>
      <c r="R130" s="109">
        <v>0.02002</v>
      </c>
      <c r="S130" s="110"/>
      <c r="T130" s="103">
        <v>800000</v>
      </c>
      <c r="U130" s="109">
        <v>0.0239</v>
      </c>
      <c r="V130" s="110"/>
      <c r="W130" s="103">
        <v>800000</v>
      </c>
      <c r="X130" s="109">
        <v>0.0286</v>
      </c>
      <c r="Y130" s="110"/>
      <c r="Z130" s="103"/>
      <c r="AA130" s="109"/>
      <c r="AB130" s="110"/>
      <c r="AC130" s="103"/>
      <c r="AD130" s="109"/>
      <c r="AE130" s="110"/>
      <c r="AF130" s="103"/>
      <c r="AG130" s="109"/>
      <c r="AH130" s="110"/>
      <c r="AI130" s="103"/>
      <c r="AJ130" s="109"/>
      <c r="AK130" s="111"/>
    </row>
    <row r="131" spans="2:37" ht="12.75" customHeight="1">
      <c r="B131" s="103"/>
      <c r="C131" s="112">
        <f>IF(AND(C79&gt;800000,C79&lt;=900000),(C130+(C132-C130)*(C79-B130)/(B132-B130)),0)</f>
        <v>0</v>
      </c>
      <c r="D131" s="112">
        <f>C131</f>
        <v>0</v>
      </c>
      <c r="E131" s="103"/>
      <c r="F131" s="112">
        <f>IF(AND(F81&gt;700000,F81&lt;=800000),(F130+(F132-F130)*(F81-E130)/(E132-E130)),0)</f>
        <v>0</v>
      </c>
      <c r="G131" s="112">
        <f>F131</f>
        <v>0</v>
      </c>
      <c r="H131" s="103"/>
      <c r="I131" s="112">
        <f>IF(AND(I81&gt;700000,I81&lt;=800000),(I130+(I132-I130)*(I81-H130)/(H132-H130)),0)</f>
        <v>0</v>
      </c>
      <c r="J131" s="112">
        <f>I131</f>
        <v>0</v>
      </c>
      <c r="K131" s="103"/>
      <c r="L131" s="112">
        <f>IF(AND(L81&gt;700000,L81&lt;=800000),(L130+(L132-L130)*(L81-K130)/(K132-K130)),0)</f>
        <v>0</v>
      </c>
      <c r="M131" s="112">
        <f>L131</f>
        <v>0</v>
      </c>
      <c r="N131" s="103"/>
      <c r="O131" s="112">
        <f>IF(AND(O81&gt;700000,O81&lt;=800000),(O130+(O132-O130)*(O81-N130)/(N132-N130)),0)</f>
        <v>0</v>
      </c>
      <c r="P131" s="112">
        <f>O131</f>
        <v>0</v>
      </c>
      <c r="Q131" s="103"/>
      <c r="R131" s="112">
        <f>IF(AND(R81&gt;700000,R81&lt;=800000),(R130+(R132-R130)*(R81-Q130)/(Q132-Q130)),0)</f>
        <v>0</v>
      </c>
      <c r="S131" s="112">
        <f>R131</f>
        <v>0</v>
      </c>
      <c r="T131" s="103"/>
      <c r="U131" s="112">
        <f>IF(AND(U81&gt;700000,U81&lt;=800000),(U130+(U132-U130)*(U81-T130)/(T132-T130)),0)</f>
        <v>0</v>
      </c>
      <c r="V131" s="112">
        <f>U131</f>
        <v>0</v>
      </c>
      <c r="W131" s="103"/>
      <c r="X131" s="112">
        <f>IF(AND(X81&gt;700000,X81&lt;=800000),(X130+(X132-X130)*(X81-W130)/(W132-W130)),0)</f>
        <v>0</v>
      </c>
      <c r="Y131" s="112">
        <f>X131</f>
        <v>0</v>
      </c>
      <c r="Z131" s="103"/>
      <c r="AA131" s="109"/>
      <c r="AB131" s="112"/>
      <c r="AC131" s="103"/>
      <c r="AD131" s="109"/>
      <c r="AE131" s="112"/>
      <c r="AF131" s="103"/>
      <c r="AG131" s="109"/>
      <c r="AH131" s="112"/>
      <c r="AI131" s="103"/>
      <c r="AJ131" s="109"/>
      <c r="AK131" s="112"/>
    </row>
    <row r="132" spans="2:37" ht="12.75" customHeight="1">
      <c r="B132" s="103">
        <v>900000</v>
      </c>
      <c r="C132" s="109">
        <v>0.0136</v>
      </c>
      <c r="D132" s="110"/>
      <c r="E132" s="103">
        <v>900000</v>
      </c>
      <c r="F132" s="109">
        <v>0.01485</v>
      </c>
      <c r="G132" s="110"/>
      <c r="H132" s="103">
        <v>900000</v>
      </c>
      <c r="I132" s="109">
        <v>0.01675</v>
      </c>
      <c r="J132" s="110"/>
      <c r="K132" s="103">
        <v>900000</v>
      </c>
      <c r="L132" s="109">
        <v>0.01801</v>
      </c>
      <c r="M132" s="110"/>
      <c r="N132" s="103">
        <v>900000</v>
      </c>
      <c r="O132" s="109">
        <v>0.01903</v>
      </c>
      <c r="P132" s="110"/>
      <c r="Q132" s="103">
        <v>900000</v>
      </c>
      <c r="R132" s="109">
        <v>0.02001</v>
      </c>
      <c r="S132" s="110"/>
      <c r="T132" s="103">
        <v>900000</v>
      </c>
      <c r="U132" s="109">
        <v>0.02385</v>
      </c>
      <c r="V132" s="110"/>
      <c r="W132" s="103">
        <v>900000</v>
      </c>
      <c r="X132" s="109">
        <v>0.0285</v>
      </c>
      <c r="Y132" s="110"/>
      <c r="Z132" s="103"/>
      <c r="AA132" s="109"/>
      <c r="AB132" s="110"/>
      <c r="AC132" s="103"/>
      <c r="AD132" s="109"/>
      <c r="AE132" s="110"/>
      <c r="AF132" s="103"/>
      <c r="AG132" s="109"/>
      <c r="AH132" s="110"/>
      <c r="AI132" s="103"/>
      <c r="AJ132" s="109"/>
      <c r="AK132" s="111"/>
    </row>
    <row r="133" spans="2:37" ht="12.75" customHeight="1">
      <c r="B133" s="103"/>
      <c r="C133" s="112">
        <f>IF(AND(C79&gt;900000,C79&lt;=1000000),(C132+(C134-C132)*(C79-B132)/(B134-B132)),0)</f>
        <v>0</v>
      </c>
      <c r="D133" s="112">
        <f>C133</f>
        <v>0</v>
      </c>
      <c r="E133" s="103"/>
      <c r="F133" s="112">
        <f>IF(AND(F79&gt;900000,F79&lt;=1000000),(F132+(F134-F132)*(F79-E132)/(E134-E132)),0)</f>
        <v>0</v>
      </c>
      <c r="G133" s="112">
        <f>F133</f>
        <v>0</v>
      </c>
      <c r="H133" s="103"/>
      <c r="I133" s="112">
        <f>IF(AND(I79&gt;900000,I79&lt;=1000000),(I132+(I134-I132)*(I79-H132)/(H134-H132)),0)</f>
        <v>0</v>
      </c>
      <c r="J133" s="112">
        <f>I133</f>
        <v>0</v>
      </c>
      <c r="K133" s="103"/>
      <c r="L133" s="112">
        <f>IF(AND(L79&gt;900000,L79&lt;=1000000),(L132+(L134-L132)*(L79-K132)/(K134-K132)),0)</f>
        <v>0</v>
      </c>
      <c r="M133" s="112">
        <f>L133</f>
        <v>0</v>
      </c>
      <c r="N133" s="103"/>
      <c r="O133" s="112">
        <f>IF(AND(O79&gt;900000,O79&lt;=1000000),(O132+(O134-O132)*(O79-N132)/(N134-N132)),0)</f>
        <v>0</v>
      </c>
      <c r="P133" s="112">
        <f>O133</f>
        <v>0</v>
      </c>
      <c r="Q133" s="103"/>
      <c r="R133" s="112">
        <f>IF(AND(R79&gt;900000,R79&lt;=1000000),(R132+(R134-R132)*(R79-Q132)/(Q134-Q132)),0)</f>
        <v>0</v>
      </c>
      <c r="S133" s="112">
        <f>R133</f>
        <v>0</v>
      </c>
      <c r="T133" s="103"/>
      <c r="U133" s="112">
        <f>IF(AND(U79&gt;900000,U79&lt;=1000000),(U132+(U134-U132)*(U79-T132)/(T134-T132)),0)</f>
        <v>0</v>
      </c>
      <c r="V133" s="112">
        <f>U133</f>
        <v>0</v>
      </c>
      <c r="W133" s="103"/>
      <c r="X133" s="112">
        <f>IF(AND(X79&gt;900000,X79&lt;=1000000),(X132+(X134-X132)*(X79-W132)/(W134-W132)),0)</f>
        <v>0</v>
      </c>
      <c r="Y133" s="112">
        <f>X133</f>
        <v>0</v>
      </c>
      <c r="Z133" s="103"/>
      <c r="AA133" s="109"/>
      <c r="AB133" s="112"/>
      <c r="AC133" s="103"/>
      <c r="AD133" s="109"/>
      <c r="AE133" s="112"/>
      <c r="AF133" s="103"/>
      <c r="AG133" s="109"/>
      <c r="AH133" s="112"/>
      <c r="AI133" s="103"/>
      <c r="AJ133" s="109"/>
      <c r="AK133" s="112"/>
    </row>
    <row r="134" spans="2:37" ht="12.75" customHeight="1">
      <c r="B134" s="103">
        <v>1000000</v>
      </c>
      <c r="C134" s="109">
        <v>0.0135</v>
      </c>
      <c r="D134" s="110"/>
      <c r="E134" s="103">
        <v>1000000</v>
      </c>
      <c r="F134" s="109">
        <v>0.0148</v>
      </c>
      <c r="G134" s="110"/>
      <c r="H134" s="103">
        <v>1000000</v>
      </c>
      <c r="I134" s="109">
        <v>0.0167</v>
      </c>
      <c r="J134" s="110"/>
      <c r="K134" s="103">
        <v>1000000</v>
      </c>
      <c r="L134" s="109">
        <v>0.018</v>
      </c>
      <c r="M134" s="110"/>
      <c r="N134" s="103">
        <v>1000000</v>
      </c>
      <c r="O134" s="109">
        <v>0.019</v>
      </c>
      <c r="P134" s="110"/>
      <c r="Q134" s="103">
        <v>1000000</v>
      </c>
      <c r="R134" s="109">
        <v>0.02</v>
      </c>
      <c r="S134" s="110"/>
      <c r="T134" s="103">
        <v>1000000</v>
      </c>
      <c r="U134" s="109">
        <v>0.02382</v>
      </c>
      <c r="V134" s="110"/>
      <c r="W134" s="103">
        <v>1000000</v>
      </c>
      <c r="X134" s="109">
        <v>0.0284</v>
      </c>
      <c r="Z134" s="103"/>
      <c r="AA134" s="112"/>
      <c r="AB134" s="110"/>
      <c r="AC134" s="103"/>
      <c r="AD134" s="109"/>
      <c r="AE134" s="110"/>
      <c r="AF134" s="103"/>
      <c r="AG134" s="109"/>
      <c r="AH134" s="110"/>
      <c r="AI134" s="103"/>
      <c r="AJ134" s="109"/>
      <c r="AK134" s="111"/>
    </row>
    <row r="135" spans="2:37" ht="12.75" customHeight="1">
      <c r="B135" s="103"/>
      <c r="C135" s="112">
        <f>IF(AND(C79&gt;1000000,C79&lt;=2000000),(C134+(C136-C134)*(C79-B134)/(B136-B134)),0)</f>
        <v>0</v>
      </c>
      <c r="D135" s="112">
        <f>C135</f>
        <v>0</v>
      </c>
      <c r="E135" s="103"/>
      <c r="F135" s="112">
        <f>IF(AND(F79&gt;1000000,F79&lt;=2000000),(F134+(F136-F134)*(F79-E134)/(E136-E134)),0)</f>
        <v>0</v>
      </c>
      <c r="G135" s="112">
        <f>F135</f>
        <v>0</v>
      </c>
      <c r="H135" s="103"/>
      <c r="I135" s="112">
        <f>IF(AND(I79&gt;1000000,I79&lt;=2000000),(I134+(I136-I134)*(I79-H134)/(H136-H134)),0)</f>
        <v>0</v>
      </c>
      <c r="J135" s="112">
        <f>I135</f>
        <v>0</v>
      </c>
      <c r="K135" s="103"/>
      <c r="L135" s="112">
        <f>IF(AND(L79&gt;1000000,L79&lt;=2000000),(L134+(L136-L134)*(L79-K134)/(K136-K134)),0)</f>
        <v>0</v>
      </c>
      <c r="M135" s="112">
        <f>L135</f>
        <v>0</v>
      </c>
      <c r="N135" s="103"/>
      <c r="O135" s="112">
        <f>IF(AND(O79&gt;1000000,O79&lt;=2000000),(O134+(O136-O134)*(O79-N134)/(N136-N134)),0)</f>
        <v>0</v>
      </c>
      <c r="P135" s="112">
        <f>O135</f>
        <v>0</v>
      </c>
      <c r="Q135" s="103"/>
      <c r="R135" s="112">
        <f>IF(AND(R79&gt;1000000,R79&lt;=2000000),(R134+(R136-R134)*(R79-Q134)/(Q136-Q134)),0)</f>
        <v>0</v>
      </c>
      <c r="S135" s="112">
        <f>R135</f>
        <v>0</v>
      </c>
      <c r="T135" s="103"/>
      <c r="U135" s="112">
        <f>IF(AND(U79&gt;1000000,U79&lt;=2000000),(U134+(U136-U134)*(U79-T134)/(T136-T134)),0)</f>
        <v>0</v>
      </c>
      <c r="V135" s="112">
        <f>U135</f>
        <v>0</v>
      </c>
      <c r="W135" s="103"/>
      <c r="X135" s="112">
        <f>IF(X79&gt;1000000,0.0284,0)</f>
        <v>0</v>
      </c>
      <c r="Y135" s="112">
        <f>X135</f>
        <v>0</v>
      </c>
      <c r="Z135" s="103"/>
      <c r="AA135" s="109"/>
      <c r="AB135" s="112"/>
      <c r="AC135" s="103"/>
      <c r="AD135" s="109"/>
      <c r="AE135" s="112"/>
      <c r="AF135" s="103"/>
      <c r="AG135" s="109"/>
      <c r="AH135" s="112"/>
      <c r="AI135" s="103"/>
      <c r="AJ135" s="109"/>
      <c r="AK135" s="112"/>
    </row>
    <row r="136" spans="2:37" ht="12.75" customHeight="1">
      <c r="B136" s="103">
        <v>2000000</v>
      </c>
      <c r="C136" s="109">
        <v>0.0128</v>
      </c>
      <c r="D136" s="110"/>
      <c r="E136" s="103">
        <v>2000000</v>
      </c>
      <c r="F136" s="109">
        <v>0.0144</v>
      </c>
      <c r="G136" s="110"/>
      <c r="H136" s="103">
        <v>2000000</v>
      </c>
      <c r="I136" s="109">
        <v>0.0162</v>
      </c>
      <c r="J136" s="110"/>
      <c r="K136" s="103">
        <v>2000000</v>
      </c>
      <c r="L136" s="109">
        <v>0.0178</v>
      </c>
      <c r="N136" s="103">
        <v>2000000</v>
      </c>
      <c r="O136" s="109">
        <v>0.0189</v>
      </c>
      <c r="P136" s="110"/>
      <c r="Q136" s="103">
        <v>2000000</v>
      </c>
      <c r="R136" s="109">
        <v>0.0198</v>
      </c>
      <c r="T136" s="103">
        <v>2000000</v>
      </c>
      <c r="U136" s="109">
        <v>0.0238</v>
      </c>
      <c r="W136" s="103"/>
      <c r="X136" s="109"/>
      <c r="Y136" s="110"/>
      <c r="Z136" s="103"/>
      <c r="AA136" s="109"/>
      <c r="AB136" s="110"/>
      <c r="AC136" s="103"/>
      <c r="AD136" s="109"/>
      <c r="AE136" s="110"/>
      <c r="AF136" s="103"/>
      <c r="AG136" s="109"/>
      <c r="AH136" s="110"/>
      <c r="AI136" s="103"/>
      <c r="AJ136" s="109"/>
      <c r="AK136" s="111"/>
    </row>
    <row r="137" spans="2:37" ht="12.75" customHeight="1">
      <c r="B137" s="103"/>
      <c r="C137" s="112">
        <f>IF(AND(C79&gt;2000000,C79&lt;=3000000),(C136+(C138-C136)*(C79-B136)/(B138-B136)),0)</f>
        <v>0</v>
      </c>
      <c r="D137" s="112">
        <f>C137</f>
        <v>0</v>
      </c>
      <c r="E137" s="103"/>
      <c r="F137" s="112">
        <f>IF(AND(F79&gt;2000000,F79&lt;=3000000),(F136+(F138-F136)*(F79-E136)/(E138-E136)),0)</f>
        <v>0</v>
      </c>
      <c r="G137" s="112">
        <f>F137</f>
        <v>0</v>
      </c>
      <c r="H137" s="103"/>
      <c r="I137" s="112">
        <f>IF(AND(I79&gt;2000000,I79&lt;=3000000),(I136+(I138-I136)*(I79-H136)/(H138-H136)),0)</f>
        <v>0</v>
      </c>
      <c r="J137" s="112">
        <f>I137</f>
        <v>0</v>
      </c>
      <c r="K137" s="103"/>
      <c r="L137" s="112">
        <f>IF(L79&gt;2000000,0.0178,0)</f>
        <v>0</v>
      </c>
      <c r="M137" s="112">
        <f>L137</f>
        <v>0</v>
      </c>
      <c r="N137" s="103"/>
      <c r="O137" s="112">
        <f>IF(AND(O79&gt;2000000,O79&lt;=3000000),(O136+(O138-O136)*(O79-N136)/(N138-N136)),0)</f>
        <v>0</v>
      </c>
      <c r="P137" s="112">
        <f>O137</f>
        <v>0</v>
      </c>
      <c r="Q137" s="103"/>
      <c r="R137" s="112">
        <f>IF(R79&gt;2000000,0.0198,0)</f>
        <v>0</v>
      </c>
      <c r="S137" s="112">
        <f>R135</f>
        <v>0</v>
      </c>
      <c r="T137" s="103"/>
      <c r="U137" s="112">
        <f>IF(U79&gt;2000000,0.0238,0)</f>
        <v>0</v>
      </c>
      <c r="V137" s="112">
        <f>U137</f>
        <v>0</v>
      </c>
      <c r="W137" s="103"/>
      <c r="X137" s="109"/>
      <c r="Y137" s="112"/>
      <c r="Z137" s="103"/>
      <c r="AA137" s="109"/>
      <c r="AB137" s="112"/>
      <c r="AC137" s="103"/>
      <c r="AD137" s="109"/>
      <c r="AE137" s="112"/>
      <c r="AF137" s="103"/>
      <c r="AG137" s="109"/>
      <c r="AH137" s="112"/>
      <c r="AI137" s="103"/>
      <c r="AJ137" s="109"/>
      <c r="AK137" s="112"/>
    </row>
    <row r="138" spans="2:37" ht="12.75" customHeight="1">
      <c r="B138" s="103">
        <v>3000000</v>
      </c>
      <c r="C138" s="109">
        <v>0.0126</v>
      </c>
      <c r="D138" s="110"/>
      <c r="E138" s="103">
        <v>3000000</v>
      </c>
      <c r="F138" s="109">
        <v>0.0142</v>
      </c>
      <c r="G138" s="110"/>
      <c r="H138" s="103">
        <v>3000000</v>
      </c>
      <c r="I138" s="109">
        <v>0.01605</v>
      </c>
      <c r="J138" s="110"/>
      <c r="K138" s="103"/>
      <c r="L138" s="109"/>
      <c r="M138" s="110"/>
      <c r="N138" s="103">
        <v>3000000</v>
      </c>
      <c r="O138" s="109">
        <v>0.0188</v>
      </c>
      <c r="Q138" s="103"/>
      <c r="R138" s="109"/>
      <c r="S138" s="110"/>
      <c r="T138" s="103"/>
      <c r="U138" s="109"/>
      <c r="V138" s="110"/>
      <c r="W138" s="103"/>
      <c r="X138" s="109"/>
      <c r="Y138" s="110"/>
      <c r="Z138" s="103"/>
      <c r="AA138" s="109"/>
      <c r="AB138" s="110"/>
      <c r="AC138" s="103"/>
      <c r="AD138" s="109"/>
      <c r="AE138" s="110"/>
      <c r="AF138" s="103"/>
      <c r="AG138" s="109"/>
      <c r="AH138" s="110"/>
      <c r="AI138" s="103"/>
      <c r="AJ138" s="109"/>
      <c r="AK138" s="111"/>
    </row>
    <row r="139" spans="2:37" ht="12.75" customHeight="1">
      <c r="B139" s="103"/>
      <c r="C139" s="112">
        <f>IF(AND(C79&gt;3000000,C79&lt;=4000000),(C138+(C140-C138)*(C79-B138)/(B140-B138)),0)</f>
        <v>0</v>
      </c>
      <c r="D139" s="112">
        <f>C139</f>
        <v>0</v>
      </c>
      <c r="E139" s="103"/>
      <c r="F139" s="112">
        <f>IF(AND(F79&gt;3000000,F79&lt;=4000000),(F138+(F140-F138)*(F79-E138)/(E140-E138)),0)</f>
        <v>0</v>
      </c>
      <c r="G139" s="112">
        <f>F139</f>
        <v>0</v>
      </c>
      <c r="H139" s="103"/>
      <c r="I139" s="112">
        <f>IF(AND(I79&gt;3000000,I79&lt;=4000000),(I138+(I140-I138)*(I79-H138)/(H140-H138)),0)</f>
        <v>0</v>
      </c>
      <c r="J139" s="112">
        <f>I139</f>
        <v>0</v>
      </c>
      <c r="K139" s="103"/>
      <c r="L139" s="109"/>
      <c r="M139" s="112"/>
      <c r="N139" s="103"/>
      <c r="O139" s="112">
        <f>IF(O79&gt;3000000,0.0188,0)</f>
        <v>0</v>
      </c>
      <c r="P139" s="112">
        <f>O139</f>
        <v>0</v>
      </c>
      <c r="Q139" s="103"/>
      <c r="R139" s="109"/>
      <c r="S139" s="112"/>
      <c r="T139" s="103"/>
      <c r="U139" s="109"/>
      <c r="V139" s="112"/>
      <c r="W139" s="103"/>
      <c r="X139" s="109"/>
      <c r="Y139" s="112"/>
      <c r="Z139" s="103"/>
      <c r="AA139" s="109"/>
      <c r="AB139" s="112"/>
      <c r="AC139" s="103"/>
      <c r="AD139" s="109"/>
      <c r="AE139" s="112"/>
      <c r="AF139" s="103"/>
      <c r="AG139" s="109"/>
      <c r="AH139" s="112"/>
      <c r="AI139" s="103"/>
      <c r="AJ139" s="109"/>
      <c r="AK139" s="112"/>
    </row>
    <row r="140" spans="2:37" ht="12.75" customHeight="1">
      <c r="B140" s="103">
        <v>4000000</v>
      </c>
      <c r="C140" s="109">
        <v>0.0124</v>
      </c>
      <c r="D140" s="110"/>
      <c r="E140" s="103">
        <v>4000000</v>
      </c>
      <c r="F140" s="109">
        <v>0.0141</v>
      </c>
      <c r="G140" s="110"/>
      <c r="H140" s="103">
        <v>4000000</v>
      </c>
      <c r="I140" s="109">
        <v>0.016</v>
      </c>
      <c r="J140" s="110"/>
      <c r="K140" s="103"/>
      <c r="L140" s="109"/>
      <c r="M140" s="110"/>
      <c r="N140" s="103"/>
      <c r="O140" s="109"/>
      <c r="P140" s="110"/>
      <c r="Q140" s="103"/>
      <c r="R140" s="109"/>
      <c r="S140" s="110"/>
      <c r="T140" s="103"/>
      <c r="U140" s="109"/>
      <c r="V140" s="110"/>
      <c r="W140" s="103"/>
      <c r="X140" s="109"/>
      <c r="Y140" s="110"/>
      <c r="Z140" s="103"/>
      <c r="AA140" s="109"/>
      <c r="AB140" s="110"/>
      <c r="AC140" s="103"/>
      <c r="AD140" s="109"/>
      <c r="AE140" s="110"/>
      <c r="AF140" s="103"/>
      <c r="AG140" s="109"/>
      <c r="AH140" s="110"/>
      <c r="AI140" s="103"/>
      <c r="AJ140" s="109"/>
      <c r="AK140" s="111"/>
    </row>
    <row r="141" spans="2:37" ht="12.75" customHeight="1">
      <c r="B141" s="103"/>
      <c r="C141" s="112">
        <f>IF(AND(C79&gt;4000000,C79&lt;=5000000),(C140+(C142-C140)*(C79-B140)/(B142-B140)),0)</f>
        <v>0</v>
      </c>
      <c r="D141" s="112">
        <f>C141</f>
        <v>0</v>
      </c>
      <c r="E141" s="103"/>
      <c r="F141" s="112">
        <f>IF(AND(F79&gt;4000000,F79&lt;=5000000),(F140+(F142-F140)*(F79-E140)/(E142-E140)),0)</f>
        <v>0</v>
      </c>
      <c r="G141" s="112">
        <f>F141</f>
        <v>0</v>
      </c>
      <c r="H141" s="103"/>
      <c r="I141" s="112">
        <f>IF(I79&gt;4000000,0.016,0)</f>
        <v>0</v>
      </c>
      <c r="J141" s="112">
        <f>I141</f>
        <v>0</v>
      </c>
      <c r="K141" s="103"/>
      <c r="L141" s="109"/>
      <c r="M141" s="112"/>
      <c r="N141" s="103"/>
      <c r="O141" s="109"/>
      <c r="P141" s="112"/>
      <c r="Q141" s="103"/>
      <c r="R141" s="109"/>
      <c r="S141" s="112"/>
      <c r="T141" s="103"/>
      <c r="U141" s="109"/>
      <c r="V141" s="112"/>
      <c r="W141" s="103"/>
      <c r="X141" s="109"/>
      <c r="Y141" s="112"/>
      <c r="Z141" s="103"/>
      <c r="AA141" s="109"/>
      <c r="AB141" s="112"/>
      <c r="AC141" s="103"/>
      <c r="AD141" s="109"/>
      <c r="AE141" s="112"/>
      <c r="AF141" s="103"/>
      <c r="AG141" s="109"/>
      <c r="AH141" s="112"/>
      <c r="AI141" s="103"/>
      <c r="AJ141" s="109"/>
      <c r="AK141" s="112"/>
    </row>
    <row r="142" spans="2:37" ht="12.75" customHeight="1">
      <c r="B142" s="103">
        <v>5000000</v>
      </c>
      <c r="C142" s="109">
        <v>0.0123</v>
      </c>
      <c r="D142" s="110"/>
      <c r="E142" s="103">
        <v>5000000</v>
      </c>
      <c r="F142" s="109">
        <v>0.014</v>
      </c>
      <c r="G142" s="110"/>
      <c r="H142" s="103"/>
      <c r="I142" s="109"/>
      <c r="J142" s="110"/>
      <c r="K142" s="103"/>
      <c r="L142" s="109"/>
      <c r="M142" s="110"/>
      <c r="N142" s="103"/>
      <c r="O142" s="109"/>
      <c r="P142" s="110"/>
      <c r="Q142" s="103"/>
      <c r="R142" s="109"/>
      <c r="S142" s="110"/>
      <c r="T142" s="103"/>
      <c r="U142" s="109"/>
      <c r="V142" s="110"/>
      <c r="W142" s="103"/>
      <c r="X142" s="109"/>
      <c r="Y142" s="110"/>
      <c r="Z142" s="103"/>
      <c r="AA142" s="109"/>
      <c r="AB142" s="110"/>
      <c r="AC142" s="103"/>
      <c r="AD142" s="109"/>
      <c r="AE142" s="110"/>
      <c r="AF142" s="103"/>
      <c r="AG142" s="109"/>
      <c r="AH142" s="110"/>
      <c r="AI142" s="103"/>
      <c r="AJ142" s="109"/>
      <c r="AK142" s="111"/>
    </row>
    <row r="143" spans="2:37" ht="12.75" customHeight="1">
      <c r="B143" s="103"/>
      <c r="C143" s="112">
        <f>IF(AND(C79&gt;5000000,C79&lt;=10000000),(C142+(C144-C142)*(C79-B142)/(B144-B142)),0)</f>
        <v>0</v>
      </c>
      <c r="D143" s="112">
        <f>C143</f>
        <v>0</v>
      </c>
      <c r="E143" s="103"/>
      <c r="F143" s="112">
        <f>IF(AND(F79&gt;5000000,F79&lt;=10000000),(F142+(F144-F142)*(F79-E142)/(E144-E142)),0)</f>
        <v>0</v>
      </c>
      <c r="G143" s="112">
        <f>F143</f>
        <v>0</v>
      </c>
      <c r="H143" s="103"/>
      <c r="I143" s="112"/>
      <c r="J143" s="112"/>
      <c r="K143" s="103"/>
      <c r="L143" s="109"/>
      <c r="M143" s="112"/>
      <c r="N143" s="103"/>
      <c r="O143" s="109"/>
      <c r="P143" s="112"/>
      <c r="Q143" s="103"/>
      <c r="R143" s="109"/>
      <c r="S143" s="112"/>
      <c r="T143" s="103"/>
      <c r="U143" s="109"/>
      <c r="V143" s="112"/>
      <c r="W143" s="103"/>
      <c r="X143" s="109"/>
      <c r="Y143" s="112"/>
      <c r="Z143" s="103"/>
      <c r="AA143" s="109"/>
      <c r="AB143" s="112"/>
      <c r="AC143" s="103"/>
      <c r="AD143" s="109"/>
      <c r="AE143" s="112"/>
      <c r="AF143" s="103"/>
      <c r="AG143" s="109"/>
      <c r="AH143" s="112"/>
      <c r="AI143" s="103"/>
      <c r="AJ143" s="109"/>
      <c r="AK143" s="112"/>
    </row>
    <row r="144" spans="2:37" ht="12.75" customHeight="1">
      <c r="B144" s="103">
        <v>10000000</v>
      </c>
      <c r="C144" s="109">
        <v>0.0122</v>
      </c>
      <c r="D144" s="110"/>
      <c r="E144" s="103">
        <v>10000000</v>
      </c>
      <c r="F144" s="109">
        <v>0.01396</v>
      </c>
      <c r="G144" s="110"/>
      <c r="H144" s="103"/>
      <c r="I144" s="109"/>
      <c r="J144" s="110"/>
      <c r="K144" s="103"/>
      <c r="L144" s="109"/>
      <c r="M144" s="110"/>
      <c r="N144" s="103"/>
      <c r="O144" s="109"/>
      <c r="P144" s="110"/>
      <c r="Q144" s="103"/>
      <c r="R144" s="109"/>
      <c r="S144" s="110"/>
      <c r="T144" s="103"/>
      <c r="U144" s="109"/>
      <c r="V144" s="110"/>
      <c r="W144" s="103"/>
      <c r="X144" s="109"/>
      <c r="Y144" s="110"/>
      <c r="Z144" s="103"/>
      <c r="AA144" s="109"/>
      <c r="AB144" s="110"/>
      <c r="AC144" s="103"/>
      <c r="AD144" s="109"/>
      <c r="AE144" s="110"/>
      <c r="AF144" s="103"/>
      <c r="AG144" s="109"/>
      <c r="AH144" s="110"/>
      <c r="AI144" s="103"/>
      <c r="AJ144" s="109"/>
      <c r="AK144" s="111"/>
    </row>
    <row r="145" spans="2:37" ht="12.75" customHeight="1">
      <c r="B145" s="103"/>
      <c r="C145" s="112">
        <f>IF(AND(C79&gt;10000000,C79&lt;=20000000),(C144+(C146-C144)*(C79-B144)/(B146-B144)),0)</f>
        <v>0</v>
      </c>
      <c r="D145" s="112">
        <f>C145</f>
        <v>0</v>
      </c>
      <c r="E145" s="103"/>
      <c r="F145" s="112">
        <f>IF(AND(F79&gt;10000000,F79&lt;=20000000),(F144+(F146-F144)*(F79-E144)/(E146-E144)),0)</f>
        <v>0</v>
      </c>
      <c r="G145" s="112">
        <f>F145</f>
        <v>0</v>
      </c>
      <c r="H145" s="103"/>
      <c r="I145" s="112"/>
      <c r="J145" s="112"/>
      <c r="K145" s="103"/>
      <c r="L145" s="109"/>
      <c r="M145" s="112"/>
      <c r="N145" s="103"/>
      <c r="O145" s="109"/>
      <c r="P145" s="112"/>
      <c r="Q145" s="103"/>
      <c r="R145" s="109"/>
      <c r="S145" s="112"/>
      <c r="T145" s="103"/>
      <c r="U145" s="109"/>
      <c r="V145" s="112"/>
      <c r="W145" s="103"/>
      <c r="X145" s="109"/>
      <c r="Y145" s="112"/>
      <c r="Z145" s="103"/>
      <c r="AA145" s="109"/>
      <c r="AB145" s="112"/>
      <c r="AC145" s="103"/>
      <c r="AD145" s="109"/>
      <c r="AE145" s="112"/>
      <c r="AF145" s="103"/>
      <c r="AG145" s="109"/>
      <c r="AH145" s="112"/>
      <c r="AI145" s="103"/>
      <c r="AJ145" s="109"/>
      <c r="AK145" s="112"/>
    </row>
    <row r="146" spans="2:37" ht="12.75" customHeight="1">
      <c r="B146" s="114">
        <v>20000000</v>
      </c>
      <c r="C146" s="115">
        <v>0.012</v>
      </c>
      <c r="D146" s="116"/>
      <c r="E146" s="114">
        <v>20000000</v>
      </c>
      <c r="F146" s="115">
        <v>0.0139</v>
      </c>
      <c r="G146" s="116"/>
      <c r="H146" s="114"/>
      <c r="I146" s="115"/>
      <c r="J146" s="116"/>
      <c r="K146" s="114"/>
      <c r="L146" s="115"/>
      <c r="M146" s="116"/>
      <c r="N146" s="114"/>
      <c r="O146" s="115"/>
      <c r="P146" s="116"/>
      <c r="Q146" s="114"/>
      <c r="R146" s="115"/>
      <c r="S146" s="116"/>
      <c r="T146" s="114"/>
      <c r="U146" s="115"/>
      <c r="V146" s="116"/>
      <c r="W146" s="114"/>
      <c r="X146" s="115"/>
      <c r="Y146" s="116"/>
      <c r="Z146" s="114"/>
      <c r="AA146" s="115"/>
      <c r="AB146" s="116"/>
      <c r="AC146" s="114"/>
      <c r="AD146" s="115"/>
      <c r="AE146" s="116"/>
      <c r="AF146" s="114"/>
      <c r="AG146" s="115"/>
      <c r="AH146" s="116"/>
      <c r="AI146" s="114"/>
      <c r="AJ146" s="115"/>
      <c r="AK146" s="117"/>
    </row>
    <row r="148" spans="2:37" ht="12.75" customHeight="1">
      <c r="B148" s="97" t="s">
        <v>532</v>
      </c>
      <c r="D148" s="99">
        <f>SUM(D83:D147)</f>
        <v>0.01807668151830169</v>
      </c>
      <c r="G148" s="99">
        <f>SUM(G83:G147)</f>
        <v>0.01867668151830169</v>
      </c>
      <c r="J148" s="99">
        <f>SUM(J83:J147)</f>
        <v>0.019525090680610813</v>
      </c>
      <c r="M148" s="99">
        <f>SUM(M83:M147)</f>
        <v>0.02042509068061081</v>
      </c>
      <c r="P148" s="99">
        <f>SUM(P83:P147)</f>
        <v>0.02134381801045811</v>
      </c>
      <c r="S148" s="99">
        <f>SUM(S83:S147)</f>
        <v>0.021873499842919933</v>
      </c>
      <c r="V148" s="99">
        <f>SUM(V83:V147)</f>
        <v>0.02519222717276723</v>
      </c>
      <c r="Y148" s="99">
        <f>SUM(Y83:Y147)</f>
        <v>0.029562545340305408</v>
      </c>
      <c r="AB148" s="99">
        <f>SUM(AB83:AB147)</f>
        <v>0.03262190900522906</v>
      </c>
      <c r="AE148" s="99">
        <f>SUM(AE83:AE147)</f>
        <v>0.03594063633507635</v>
      </c>
      <c r="AH148" s="99">
        <f>SUM(AH83:AH147)</f>
        <v>0.038216890869106894</v>
      </c>
      <c r="AK148" s="99">
        <f>SUM(AK83:AK147)</f>
        <v>0.044</v>
      </c>
    </row>
    <row r="150" spans="2:35" ht="12.75" customHeight="1">
      <c r="B150" s="110" t="s">
        <v>533</v>
      </c>
      <c r="D150" s="110"/>
      <c r="E150" s="99">
        <f>EDD</f>
        <v>0.0025</v>
      </c>
      <c r="H150" s="99">
        <f>EDD</f>
        <v>0.0025</v>
      </c>
      <c r="K150" s="99">
        <f>EDD</f>
        <v>0.0025</v>
      </c>
      <c r="N150" s="99">
        <f>EDD</f>
        <v>0.0025</v>
      </c>
      <c r="Q150" s="99">
        <f>EDD</f>
        <v>0.0025</v>
      </c>
      <c r="T150" s="99">
        <f>EDD</f>
        <v>0.0025</v>
      </c>
      <c r="W150" s="99">
        <f>EDD</f>
        <v>0.0025</v>
      </c>
      <c r="Z150" s="99">
        <f>EDD</f>
        <v>0.0025</v>
      </c>
      <c r="AC150" s="99">
        <f>EDD</f>
        <v>0.0025</v>
      </c>
      <c r="AF150" s="99">
        <f>EDD</f>
        <v>0.0025</v>
      </c>
      <c r="AI150" s="99">
        <f>EDD</f>
        <v>0.0025</v>
      </c>
    </row>
    <row r="152" spans="2:37" ht="30.75" customHeight="1">
      <c r="B152" s="97" t="s">
        <v>534</v>
      </c>
      <c r="E152" s="99">
        <f>IF(AND(E150&gt;0.0001,E150&lt;=0.0002),D148+(G148-D148)*(E150-C82)/(F82-C82),0)</f>
        <v>0</v>
      </c>
      <c r="H152" s="99">
        <f>IF(AND(H150&gt;0.0002,H150&lt;=0.0004),G148+(J148-G148)*(H150-F82)/(I82-F82),0)</f>
        <v>0</v>
      </c>
      <c r="K152" s="99">
        <f>IF(AND(K150&gt;0.0004,K150&lt;=0.0006),J148+(M148-J148)*(K150-I82)/(L82-I82),0)</f>
        <v>0</v>
      </c>
      <c r="N152" s="99">
        <f>IF(AND(N150&gt;0.0006,N150&lt;=0.0008),M148+(P148-M148)*(N150-L82)/(O82-L82),0)</f>
        <v>0</v>
      </c>
      <c r="Q152" s="99">
        <f>IF(AND(Q150&gt;0.0008,Q150&lt;=0.001),P148+(S148-P148)*(Q150-O82)/(R82-O82),0)</f>
        <v>0</v>
      </c>
      <c r="T152" s="99">
        <f>IF(AND(T150&gt;0.001,T150&lt;=0.002),S148+(V148-S148)*(T150-R82)/(U82-R82),0)</f>
        <v>0</v>
      </c>
      <c r="W152" s="99">
        <f>IF(AND(W150&gt;0.002,W150&lt;=0.004),V148+(Y148-V148)*(W150-U82)/(X82-U82),0)</f>
        <v>0.026284806714651773</v>
      </c>
      <c r="Z152" s="99">
        <f>IF(AND(Z150&gt;0.004,Z150&lt;=0.006),Y148+(AB148-Y148)*(Z150-X82)/(AA82-X82),0)</f>
        <v>0</v>
      </c>
      <c r="AC152" s="99">
        <f>IF(AND(AC150&gt;0.006,AC150&lt;=0.008),AB148+(AE148-AB148)*(AC150-AA82)/(AD82-AA82),0)</f>
        <v>0</v>
      </c>
      <c r="AF152" s="99">
        <f>IF(AND(AF150&gt;0.008,AF150&lt;=0.01),AE148+(AH148-AE148)*(AF150-AD82)/(AG82-AD82),0)</f>
        <v>0</v>
      </c>
      <c r="AI152" s="99">
        <f>IF(AND(AI150&gt;0.01,AI150&lt;=0.015),AH148+(AK148-AH148)*(AI150-AG82)/(AJ82-AG82),0)</f>
        <v>0</v>
      </c>
      <c r="AK152" s="118">
        <f>SUM(E152:AJ152)</f>
        <v>0.026284806714651773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I40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67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212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198</v>
      </c>
    </row>
    <row r="6" ht="19.5" customHeight="1">
      <c r="B6" s="38" t="s">
        <v>207</v>
      </c>
    </row>
    <row r="7" ht="19.5" customHeight="1">
      <c r="B7" s="23"/>
    </row>
    <row r="8" ht="19.5" customHeight="1">
      <c r="B8" s="1" t="s">
        <v>199</v>
      </c>
    </row>
    <row r="9" spans="2:9" s="1" customFormat="1" ht="19.5" customHeight="1">
      <c r="B9" s="11" t="s">
        <v>209</v>
      </c>
      <c r="C9" s="11"/>
      <c r="D9" s="25"/>
      <c r="E9" s="25"/>
      <c r="F9" s="25" t="s">
        <v>200</v>
      </c>
      <c r="G9" s="11" t="s">
        <v>201</v>
      </c>
      <c r="H9" s="13">
        <v>120</v>
      </c>
      <c r="I9" s="1" t="s">
        <v>202</v>
      </c>
    </row>
    <row r="10" spans="2:9" s="1" customFormat="1" ht="19.5" customHeight="1">
      <c r="B10" s="11" t="s">
        <v>208</v>
      </c>
      <c r="C10" s="11"/>
      <c r="D10" s="25"/>
      <c r="E10" s="25"/>
      <c r="F10" s="25" t="s">
        <v>210</v>
      </c>
      <c r="G10" s="11" t="s">
        <v>120</v>
      </c>
      <c r="H10" s="13">
        <v>100</v>
      </c>
      <c r="I10" s="1" t="s">
        <v>202</v>
      </c>
    </row>
    <row r="11" spans="2:9" s="1" customFormat="1" ht="19.5" customHeight="1">
      <c r="B11" s="11" t="s">
        <v>211</v>
      </c>
      <c r="C11" s="11"/>
      <c r="D11" s="25"/>
      <c r="E11" s="25"/>
      <c r="F11" s="25" t="s">
        <v>192</v>
      </c>
      <c r="G11" s="11" t="s">
        <v>120</v>
      </c>
      <c r="H11" s="13">
        <v>80</v>
      </c>
      <c r="I11" s="1" t="s">
        <v>202</v>
      </c>
    </row>
    <row r="12" spans="1:4" s="1" customFormat="1" ht="8.25" customHeight="1">
      <c r="A12" s="14"/>
      <c r="B12" s="14"/>
      <c r="D12" s="25"/>
    </row>
    <row r="13" spans="2:5" s="1" customFormat="1" ht="19.5" customHeight="1">
      <c r="B13" s="11" t="s">
        <v>203</v>
      </c>
      <c r="C13" s="1" t="s">
        <v>201</v>
      </c>
      <c r="D13" s="127">
        <f>((H9+H10)*H11/2)*10^-6</f>
        <v>0.008799999999999999</v>
      </c>
      <c r="E13" s="1" t="s">
        <v>204</v>
      </c>
    </row>
    <row r="14" spans="2:5" s="1" customFormat="1" ht="19.5" customHeight="1">
      <c r="B14" s="11"/>
      <c r="C14" s="1" t="s">
        <v>201</v>
      </c>
      <c r="D14" s="31">
        <f>((H9+H10)*H11/2)*10^-2</f>
        <v>88</v>
      </c>
      <c r="E14" s="1" t="s">
        <v>194</v>
      </c>
    </row>
    <row r="15" spans="3:5" s="1" customFormat="1" ht="19.5" customHeight="1">
      <c r="C15" s="1" t="s">
        <v>120</v>
      </c>
      <c r="D15" s="32">
        <f>(H9+H10)*H11/2</f>
        <v>8800</v>
      </c>
      <c r="E15" s="1" t="s">
        <v>205</v>
      </c>
    </row>
    <row r="16" s="1" customFormat="1" ht="19.5" customHeight="1">
      <c r="D16" s="32"/>
    </row>
    <row r="17" spans="1:8" s="1" customFormat="1" ht="19.5" customHeight="1">
      <c r="A17" s="14" t="s">
        <v>206</v>
      </c>
      <c r="D17" s="25"/>
      <c r="H17" s="12"/>
    </row>
    <row r="18" spans="1:8" s="1" customFormat="1" ht="19.5" customHeight="1">
      <c r="A18" s="14"/>
      <c r="D18" s="25"/>
      <c r="H18" s="12"/>
    </row>
    <row r="19" spans="1:9" ht="19.5" customHeight="1">
      <c r="A19" s="21" t="s">
        <v>220</v>
      </c>
      <c r="B19" s="21"/>
      <c r="C19" s="20"/>
      <c r="D19" s="27"/>
      <c r="E19" s="20"/>
      <c r="F19" s="20"/>
      <c r="G19" s="20"/>
      <c r="H19" s="20"/>
      <c r="I19" s="20"/>
    </row>
    <row r="20" spans="1:9" ht="8.25" customHeight="1">
      <c r="A20" s="21"/>
      <c r="B20" s="21"/>
      <c r="C20" s="20"/>
      <c r="D20" s="27"/>
      <c r="E20" s="20"/>
      <c r="F20" s="20"/>
      <c r="G20" s="20"/>
      <c r="H20" s="20"/>
      <c r="I20" s="20"/>
    </row>
    <row r="21" ht="19.5" customHeight="1">
      <c r="B21" s="22" t="s">
        <v>198</v>
      </c>
    </row>
    <row r="22" ht="19.5" customHeight="1">
      <c r="B22" s="22" t="s">
        <v>213</v>
      </c>
    </row>
    <row r="23" ht="19.5" customHeight="1">
      <c r="B23" s="38" t="s">
        <v>292</v>
      </c>
    </row>
    <row r="24" ht="19.5" customHeight="1">
      <c r="B24" s="38" t="s">
        <v>293</v>
      </c>
    </row>
    <row r="25" ht="19.5" customHeight="1">
      <c r="B25" s="23"/>
    </row>
    <row r="26" ht="19.5" customHeight="1">
      <c r="B26" s="1" t="s">
        <v>199</v>
      </c>
    </row>
    <row r="27" spans="2:9" ht="19.5" customHeight="1">
      <c r="B27" s="11" t="s">
        <v>214</v>
      </c>
      <c r="C27" s="11"/>
      <c r="D27" s="25"/>
      <c r="E27" s="25"/>
      <c r="F27" s="25" t="s">
        <v>215</v>
      </c>
      <c r="G27" s="11" t="s">
        <v>201</v>
      </c>
      <c r="H27" s="13">
        <v>50</v>
      </c>
      <c r="I27" s="1" t="s">
        <v>202</v>
      </c>
    </row>
    <row r="28" spans="1:4" s="1" customFormat="1" ht="8.25" customHeight="1">
      <c r="A28" s="14"/>
      <c r="B28" s="14"/>
      <c r="D28" s="25"/>
    </row>
    <row r="29" spans="2:5" s="1" customFormat="1" ht="19.5" customHeight="1">
      <c r="B29" s="11" t="s">
        <v>203</v>
      </c>
      <c r="C29" s="1" t="s">
        <v>201</v>
      </c>
      <c r="D29" s="136">
        <f>(3.141592*H27^2/4)*10^-6</f>
        <v>0.001963495</v>
      </c>
      <c r="E29" s="1" t="s">
        <v>204</v>
      </c>
    </row>
    <row r="30" spans="2:5" s="1" customFormat="1" ht="19.5" customHeight="1">
      <c r="B30" s="11"/>
      <c r="C30" s="1" t="s">
        <v>201</v>
      </c>
      <c r="D30" s="31">
        <f>(3.141592*H27^2/4)*10^-2</f>
        <v>19.63495</v>
      </c>
      <c r="E30" s="1" t="s">
        <v>216</v>
      </c>
    </row>
    <row r="31" spans="3:5" s="1" customFormat="1" ht="19.5" customHeight="1">
      <c r="C31" s="1" t="s">
        <v>201</v>
      </c>
      <c r="D31" s="32">
        <f>3.141592*H27^2/4</f>
        <v>1963.4950000000001</v>
      </c>
      <c r="E31" s="1" t="s">
        <v>217</v>
      </c>
    </row>
    <row r="32" spans="1:4" s="1" customFormat="1" ht="8.25" customHeight="1">
      <c r="A32" s="14"/>
      <c r="B32" s="14"/>
      <c r="D32" s="25"/>
    </row>
    <row r="33" spans="2:5" s="1" customFormat="1" ht="19.5" customHeight="1">
      <c r="B33" s="11" t="s">
        <v>218</v>
      </c>
      <c r="C33" s="1" t="s">
        <v>118</v>
      </c>
      <c r="D33" s="32">
        <f>3.141592*H27</f>
        <v>157.0796</v>
      </c>
      <c r="E33" s="1" t="s">
        <v>117</v>
      </c>
    </row>
    <row r="34" s="1" customFormat="1" ht="19.5" customHeight="1">
      <c r="D34" s="15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39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67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231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221</v>
      </c>
    </row>
    <row r="6" ht="19.5" customHeight="1">
      <c r="B6" s="22" t="s">
        <v>233</v>
      </c>
    </row>
    <row r="7" ht="19.5" customHeight="1">
      <c r="B7" s="22" t="s">
        <v>234</v>
      </c>
    </row>
    <row r="8" ht="19.5" customHeight="1">
      <c r="B8" s="38" t="s">
        <v>294</v>
      </c>
    </row>
    <row r="9" ht="19.5" customHeight="1">
      <c r="B9" s="38" t="s">
        <v>295</v>
      </c>
    </row>
    <row r="10" ht="19.5" customHeight="1">
      <c r="B10" s="38" t="s">
        <v>296</v>
      </c>
    </row>
    <row r="11" ht="19.5" customHeight="1">
      <c r="B11" s="23"/>
    </row>
    <row r="12" ht="19.5" customHeight="1">
      <c r="B12" s="1" t="s">
        <v>222</v>
      </c>
    </row>
    <row r="13" spans="2:9" s="1" customFormat="1" ht="19.5" customHeight="1">
      <c r="B13" s="11" t="s">
        <v>235</v>
      </c>
      <c r="C13" s="11"/>
      <c r="D13" s="25"/>
      <c r="E13" s="25"/>
      <c r="F13" s="25" t="s">
        <v>237</v>
      </c>
      <c r="G13" s="11" t="s">
        <v>223</v>
      </c>
      <c r="H13" s="13">
        <v>150</v>
      </c>
      <c r="I13" s="1" t="s">
        <v>224</v>
      </c>
    </row>
    <row r="14" spans="2:9" s="1" customFormat="1" ht="19.5" customHeight="1">
      <c r="B14" s="11" t="s">
        <v>236</v>
      </c>
      <c r="C14" s="11"/>
      <c r="D14" s="25"/>
      <c r="E14" s="25"/>
      <c r="F14" s="33" t="s">
        <v>230</v>
      </c>
      <c r="G14" s="11" t="s">
        <v>223</v>
      </c>
      <c r="H14" s="13">
        <v>25</v>
      </c>
      <c r="I14" s="1" t="s">
        <v>254</v>
      </c>
    </row>
    <row r="15" spans="1:4" s="1" customFormat="1" ht="8.25" customHeight="1">
      <c r="A15" s="14"/>
      <c r="B15" s="14"/>
      <c r="D15" s="25"/>
    </row>
    <row r="16" spans="2:5" s="1" customFormat="1" ht="19.5" customHeight="1">
      <c r="B16" s="11" t="s">
        <v>225</v>
      </c>
      <c r="C16" s="1" t="s">
        <v>223</v>
      </c>
      <c r="D16" s="127">
        <f>(H13^2*3.141592*H14/360)*10^-6</f>
        <v>0.004908737500000001</v>
      </c>
      <c r="E16" s="1" t="s">
        <v>226</v>
      </c>
    </row>
    <row r="17" spans="2:5" s="1" customFormat="1" ht="19.5" customHeight="1">
      <c r="B17" s="11"/>
      <c r="C17" s="1" t="s">
        <v>223</v>
      </c>
      <c r="D17" s="31">
        <f>(H13^2*3.141592*H14/360)*10^-2</f>
        <v>49.08737500000001</v>
      </c>
      <c r="E17" s="1" t="s">
        <v>227</v>
      </c>
    </row>
    <row r="18" spans="3:5" s="1" customFormat="1" ht="19.5" customHeight="1">
      <c r="C18" s="1" t="s">
        <v>223</v>
      </c>
      <c r="D18" s="32">
        <f>H13^2*3.141592*H14/360</f>
        <v>4908.737500000001</v>
      </c>
      <c r="E18" s="1" t="s">
        <v>228</v>
      </c>
    </row>
    <row r="19" spans="2:5" s="1" customFormat="1" ht="19.5" customHeight="1">
      <c r="B19" s="1" t="s">
        <v>238</v>
      </c>
      <c r="C19" s="1" t="s">
        <v>118</v>
      </c>
      <c r="D19" s="32">
        <f>H13*3.141592*H14/180</f>
        <v>65.44983333333334</v>
      </c>
      <c r="E19" s="1" t="s">
        <v>117</v>
      </c>
    </row>
    <row r="20" s="1" customFormat="1" ht="19.5" customHeight="1">
      <c r="D20" s="32"/>
    </row>
    <row r="21" spans="1:8" s="1" customFormat="1" ht="19.5" customHeight="1">
      <c r="A21" s="14" t="s">
        <v>229</v>
      </c>
      <c r="D21" s="25"/>
      <c r="H21" s="12"/>
    </row>
    <row r="22" spans="1:8" s="1" customFormat="1" ht="19.5" customHeight="1">
      <c r="A22" s="14"/>
      <c r="D22" s="25"/>
      <c r="H22" s="12"/>
    </row>
    <row r="23" spans="1:9" ht="19.5" customHeight="1">
      <c r="A23" s="21" t="s">
        <v>232</v>
      </c>
      <c r="B23" s="21"/>
      <c r="C23" s="20"/>
      <c r="D23" s="27"/>
      <c r="E23" s="20"/>
      <c r="F23" s="20"/>
      <c r="G23" s="20"/>
      <c r="H23" s="20"/>
      <c r="I23" s="20"/>
    </row>
    <row r="24" spans="1:9" ht="8.25" customHeight="1">
      <c r="A24" s="21"/>
      <c r="B24" s="21"/>
      <c r="C24" s="20"/>
      <c r="D24" s="27"/>
      <c r="E24" s="20"/>
      <c r="F24" s="20"/>
      <c r="G24" s="20"/>
      <c r="H24" s="20"/>
      <c r="I24" s="20"/>
    </row>
    <row r="25" ht="19.5" customHeight="1">
      <c r="B25" s="22" t="s">
        <v>221</v>
      </c>
    </row>
    <row r="26" ht="19.5" customHeight="1">
      <c r="B26" s="22" t="s">
        <v>239</v>
      </c>
    </row>
    <row r="27" ht="19.5" customHeight="1">
      <c r="B27" s="38" t="s">
        <v>636</v>
      </c>
    </row>
    <row r="28" ht="19.5" customHeight="1">
      <c r="B28" s="38" t="s">
        <v>635</v>
      </c>
    </row>
    <row r="29" ht="19.5" customHeight="1">
      <c r="B29" s="38" t="s">
        <v>634</v>
      </c>
    </row>
    <row r="30" ht="19.5" customHeight="1">
      <c r="B30" s="23"/>
    </row>
    <row r="31" ht="19.5" customHeight="1">
      <c r="B31" s="1" t="s">
        <v>222</v>
      </c>
    </row>
    <row r="32" spans="2:9" ht="19.5" customHeight="1">
      <c r="B32" s="11" t="s">
        <v>235</v>
      </c>
      <c r="C32" s="11"/>
      <c r="D32" s="25"/>
      <c r="E32" s="25"/>
      <c r="F32" s="25" t="s">
        <v>237</v>
      </c>
      <c r="G32" s="11" t="s">
        <v>223</v>
      </c>
      <c r="H32" s="13">
        <v>50</v>
      </c>
      <c r="I32" s="1" t="s">
        <v>224</v>
      </c>
    </row>
    <row r="33" spans="2:9" ht="19.5" customHeight="1">
      <c r="B33" s="11" t="s">
        <v>236</v>
      </c>
      <c r="C33" s="11"/>
      <c r="D33" s="25"/>
      <c r="E33" s="25"/>
      <c r="F33" s="33" t="s">
        <v>230</v>
      </c>
      <c r="G33" s="11" t="s">
        <v>223</v>
      </c>
      <c r="H33" s="13">
        <v>60</v>
      </c>
      <c r="I33" s="1" t="s">
        <v>254</v>
      </c>
    </row>
    <row r="34" spans="1:4" s="1" customFormat="1" ht="8.25" customHeight="1">
      <c r="A34" s="14"/>
      <c r="B34" s="14"/>
      <c r="D34" s="25"/>
    </row>
    <row r="35" spans="1:5" s="1" customFormat="1" ht="19.5" customHeight="1">
      <c r="A35" s="14"/>
      <c r="B35" s="1" t="s">
        <v>182</v>
      </c>
      <c r="C35" s="1" t="s">
        <v>120</v>
      </c>
      <c r="D35" s="32">
        <f>2*H32*SIN((H33*PI()/180)/2)</f>
        <v>49.99999999999999</v>
      </c>
      <c r="E35" s="1" t="s">
        <v>119</v>
      </c>
    </row>
    <row r="36" spans="1:5" s="1" customFormat="1" ht="19.5" customHeight="1">
      <c r="A36" s="14"/>
      <c r="B36" s="11" t="s">
        <v>637</v>
      </c>
      <c r="C36" s="1" t="s">
        <v>120</v>
      </c>
      <c r="D36" s="32">
        <f>H32-((4*H32^2-D35^2)^0.5)/2</f>
        <v>6.698729810778062</v>
      </c>
      <c r="E36" s="1" t="s">
        <v>119</v>
      </c>
    </row>
    <row r="37" spans="2:5" s="1" customFormat="1" ht="19.5" customHeight="1">
      <c r="B37" s="11" t="s">
        <v>225</v>
      </c>
      <c r="C37" s="1" t="s">
        <v>223</v>
      </c>
      <c r="D37" s="136">
        <f>(H32^2*3.141592*H33*10^-6/360)-(D35*(H32-D36)*10^-6/2)</f>
        <v>0.00022646491193611842</v>
      </c>
      <c r="E37" s="1" t="s">
        <v>226</v>
      </c>
    </row>
    <row r="38" spans="2:5" s="1" customFormat="1" ht="19.5" customHeight="1">
      <c r="B38" s="11"/>
      <c r="C38" s="1" t="s">
        <v>223</v>
      </c>
      <c r="D38" s="32">
        <f>D37*10^6</f>
        <v>226.46491193611843</v>
      </c>
      <c r="E38" s="1" t="s">
        <v>228</v>
      </c>
    </row>
    <row r="39" spans="1:8" s="1" customFormat="1" ht="19.5" customHeight="1">
      <c r="A39" s="14"/>
      <c r="D39" s="25"/>
      <c r="H39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I40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67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249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240</v>
      </c>
    </row>
    <row r="6" ht="19.5" customHeight="1">
      <c r="B6" s="22" t="s">
        <v>251</v>
      </c>
    </row>
    <row r="7" ht="19.5" customHeight="1">
      <c r="B7" s="22" t="s">
        <v>261</v>
      </c>
    </row>
    <row r="8" ht="19.5" customHeight="1">
      <c r="B8" s="38" t="s">
        <v>297</v>
      </c>
    </row>
    <row r="9" ht="19.5" customHeight="1">
      <c r="B9" s="38" t="s">
        <v>298</v>
      </c>
    </row>
    <row r="10" ht="19.5" customHeight="1">
      <c r="B10" s="38" t="s">
        <v>299</v>
      </c>
    </row>
    <row r="11" ht="19.5" customHeight="1">
      <c r="B11" s="38" t="s">
        <v>300</v>
      </c>
    </row>
    <row r="12" ht="19.5" customHeight="1">
      <c r="B12" s="34" t="s">
        <v>258</v>
      </c>
    </row>
    <row r="13" ht="19.5" customHeight="1">
      <c r="B13" s="23"/>
    </row>
    <row r="14" ht="19.5" customHeight="1">
      <c r="B14" s="1" t="s">
        <v>241</v>
      </c>
    </row>
    <row r="15" spans="2:9" s="1" customFormat="1" ht="19.5" customHeight="1">
      <c r="B15" s="11" t="s">
        <v>260</v>
      </c>
      <c r="C15" s="11"/>
      <c r="D15" s="25"/>
      <c r="E15" s="25"/>
      <c r="F15" s="25" t="s">
        <v>237</v>
      </c>
      <c r="G15" s="11" t="s">
        <v>242</v>
      </c>
      <c r="H15" s="13">
        <v>150</v>
      </c>
      <c r="I15" s="1" t="s">
        <v>243</v>
      </c>
    </row>
    <row r="16" spans="2:9" s="1" customFormat="1" ht="19.5" customHeight="1">
      <c r="B16" s="11" t="s">
        <v>256</v>
      </c>
      <c r="C16" s="11"/>
      <c r="D16" s="25"/>
      <c r="E16" s="25"/>
      <c r="F16" s="25" t="s">
        <v>168</v>
      </c>
      <c r="G16" s="11" t="s">
        <v>118</v>
      </c>
      <c r="H16" s="13">
        <v>176.3356</v>
      </c>
      <c r="I16" s="1" t="s">
        <v>243</v>
      </c>
    </row>
    <row r="17" spans="2:8" s="1" customFormat="1" ht="19.5" customHeight="1">
      <c r="B17" s="11" t="s">
        <v>252</v>
      </c>
      <c r="C17" s="11"/>
      <c r="D17" s="25"/>
      <c r="E17" s="25"/>
      <c r="F17" s="25" t="s">
        <v>253</v>
      </c>
      <c r="G17" s="11" t="s">
        <v>242</v>
      </c>
      <c r="H17" s="13">
        <v>5</v>
      </c>
    </row>
    <row r="18" spans="1:4" s="1" customFormat="1" ht="8.25" customHeight="1">
      <c r="A18" s="14"/>
      <c r="B18" s="14"/>
      <c r="D18" s="25"/>
    </row>
    <row r="19" spans="2:5" s="1" customFormat="1" ht="19.5" customHeight="1">
      <c r="B19" s="11" t="s">
        <v>259</v>
      </c>
      <c r="C19" s="1" t="s">
        <v>242</v>
      </c>
      <c r="D19" s="31">
        <f>(H15^2-(H16^2/4))^0.5</f>
        <v>121.35254032429647</v>
      </c>
      <c r="E19" s="1" t="s">
        <v>117</v>
      </c>
    </row>
    <row r="20" spans="2:5" s="1" customFormat="1" ht="19.5" customHeight="1">
      <c r="B20" s="1" t="s">
        <v>255</v>
      </c>
      <c r="C20" s="1" t="s">
        <v>242</v>
      </c>
      <c r="D20" s="136">
        <f>(H17*D19*H16/2)*10^-6</f>
        <v>0.05349693252402254</v>
      </c>
      <c r="E20" s="1" t="s">
        <v>257</v>
      </c>
    </row>
    <row r="21" spans="3:5" s="1" customFormat="1" ht="19.5" customHeight="1">
      <c r="C21" s="1" t="s">
        <v>118</v>
      </c>
      <c r="D21" s="32">
        <f>H17*D19*H16/2</f>
        <v>53496.93252402254</v>
      </c>
      <c r="E21" s="1" t="s">
        <v>217</v>
      </c>
    </row>
    <row r="22" s="1" customFormat="1" ht="19.5" customHeight="1">
      <c r="D22" s="32"/>
    </row>
    <row r="23" spans="1:8" s="1" customFormat="1" ht="19.5" customHeight="1">
      <c r="A23" s="14" t="s">
        <v>248</v>
      </c>
      <c r="D23" s="25"/>
      <c r="H23" s="12"/>
    </row>
    <row r="24" spans="1:8" s="1" customFormat="1" ht="19.5" customHeight="1">
      <c r="A24" s="14"/>
      <c r="D24" s="25"/>
      <c r="H24" s="12"/>
    </row>
    <row r="25" spans="1:9" ht="19.5" customHeight="1">
      <c r="A25" s="21" t="s">
        <v>250</v>
      </c>
      <c r="B25" s="21"/>
      <c r="C25" s="20"/>
      <c r="D25" s="27"/>
      <c r="E25" s="20"/>
      <c r="F25" s="20"/>
      <c r="G25" s="20"/>
      <c r="H25" s="20"/>
      <c r="I25" s="20"/>
    </row>
    <row r="26" spans="1:9" ht="8.25" customHeight="1">
      <c r="A26" s="21"/>
      <c r="B26" s="21"/>
      <c r="C26" s="20"/>
      <c r="D26" s="27"/>
      <c r="E26" s="20"/>
      <c r="F26" s="20"/>
      <c r="G26" s="20"/>
      <c r="H26" s="20"/>
      <c r="I26" s="20"/>
    </row>
    <row r="27" ht="19.5" customHeight="1">
      <c r="B27" s="22" t="s">
        <v>240</v>
      </c>
    </row>
    <row r="28" ht="19.5" customHeight="1">
      <c r="B28" s="22" t="s">
        <v>262</v>
      </c>
    </row>
    <row r="29" ht="19.5" customHeight="1">
      <c r="B29" s="38" t="s">
        <v>301</v>
      </c>
    </row>
    <row r="30" ht="19.5" customHeight="1">
      <c r="B30" s="38" t="s">
        <v>302</v>
      </c>
    </row>
    <row r="31" ht="19.5" customHeight="1">
      <c r="B31" s="23"/>
    </row>
    <row r="32" ht="19.5" customHeight="1">
      <c r="B32" s="1" t="s">
        <v>241</v>
      </c>
    </row>
    <row r="33" spans="2:9" ht="19.5" customHeight="1">
      <c r="B33" s="11" t="s">
        <v>263</v>
      </c>
      <c r="C33" s="11"/>
      <c r="D33" s="25"/>
      <c r="E33" s="25"/>
      <c r="F33" s="25" t="s">
        <v>237</v>
      </c>
      <c r="G33" s="11" t="s">
        <v>242</v>
      </c>
      <c r="H33" s="13">
        <v>500</v>
      </c>
      <c r="I33" s="1" t="s">
        <v>243</v>
      </c>
    </row>
    <row r="34" spans="1:4" s="1" customFormat="1" ht="8.25" customHeight="1">
      <c r="A34" s="14"/>
      <c r="B34" s="14"/>
      <c r="D34" s="25"/>
    </row>
    <row r="35" spans="2:5" s="1" customFormat="1" ht="19.5" customHeight="1">
      <c r="B35" s="11" t="s">
        <v>244</v>
      </c>
      <c r="C35" s="1" t="s">
        <v>242</v>
      </c>
      <c r="D35" s="136">
        <f>2.598*H33^2*10^-6</f>
        <v>0.6495</v>
      </c>
      <c r="E35" s="1" t="s">
        <v>245</v>
      </c>
    </row>
    <row r="36" spans="2:5" s="1" customFormat="1" ht="19.5" customHeight="1">
      <c r="B36" s="11"/>
      <c r="C36" s="1" t="s">
        <v>242</v>
      </c>
      <c r="D36" s="32">
        <f>2.598*H33^2</f>
        <v>649500</v>
      </c>
      <c r="E36" s="1" t="s">
        <v>247</v>
      </c>
    </row>
    <row r="37" spans="2:5" s="1" customFormat="1" ht="19.5" customHeight="1">
      <c r="B37" s="1" t="s">
        <v>259</v>
      </c>
      <c r="C37" s="1" t="s">
        <v>118</v>
      </c>
      <c r="D37" s="32">
        <f>0.866*H33</f>
        <v>433</v>
      </c>
      <c r="E37" s="1" t="s">
        <v>117</v>
      </c>
    </row>
    <row r="38" spans="1:4" s="1" customFormat="1" ht="8.25" customHeight="1">
      <c r="A38" s="14"/>
      <c r="B38" s="14"/>
      <c r="D38" s="25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I40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67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274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240</v>
      </c>
    </row>
    <row r="6" ht="19.5" customHeight="1">
      <c r="B6" s="22" t="s">
        <v>264</v>
      </c>
    </row>
    <row r="7" ht="19.5" customHeight="1">
      <c r="B7" s="38" t="s">
        <v>303</v>
      </c>
    </row>
    <row r="8" ht="19.5" customHeight="1">
      <c r="B8" s="38" t="s">
        <v>304</v>
      </c>
    </row>
    <row r="9" ht="19.5" customHeight="1">
      <c r="B9" s="23"/>
    </row>
    <row r="10" ht="19.5" customHeight="1">
      <c r="B10" s="1" t="s">
        <v>241</v>
      </c>
    </row>
    <row r="11" spans="2:9" s="1" customFormat="1" ht="19.5" customHeight="1">
      <c r="B11" s="11" t="s">
        <v>134</v>
      </c>
      <c r="C11" s="11"/>
      <c r="D11" s="25"/>
      <c r="E11" s="25"/>
      <c r="F11" s="25" t="s">
        <v>265</v>
      </c>
      <c r="G11" s="11" t="s">
        <v>242</v>
      </c>
      <c r="H11" s="13">
        <v>100</v>
      </c>
      <c r="I11" s="1" t="s">
        <v>243</v>
      </c>
    </row>
    <row r="12" spans="2:9" s="1" customFormat="1" ht="19.5" customHeight="1">
      <c r="B12" s="11" t="s">
        <v>134</v>
      </c>
      <c r="C12" s="11"/>
      <c r="D12" s="25"/>
      <c r="E12" s="25"/>
      <c r="F12" s="25" t="s">
        <v>266</v>
      </c>
      <c r="G12" s="11" t="s">
        <v>242</v>
      </c>
      <c r="H12" s="13">
        <v>50</v>
      </c>
      <c r="I12" s="1" t="s">
        <v>243</v>
      </c>
    </row>
    <row r="13" spans="1:4" s="1" customFormat="1" ht="8.25" customHeight="1">
      <c r="A13" s="14"/>
      <c r="B13" s="14"/>
      <c r="D13" s="25"/>
    </row>
    <row r="14" spans="2:5" s="1" customFormat="1" ht="19.5" customHeight="1">
      <c r="B14" s="11" t="s">
        <v>244</v>
      </c>
      <c r="C14" s="1" t="s">
        <v>242</v>
      </c>
      <c r="D14" s="127">
        <f>3.141592*H11*H12*10^-6</f>
        <v>0.01570796</v>
      </c>
      <c r="E14" s="1" t="s">
        <v>245</v>
      </c>
    </row>
    <row r="15" spans="2:5" s="1" customFormat="1" ht="19.5" customHeight="1">
      <c r="B15" s="11"/>
      <c r="C15" s="1" t="s">
        <v>242</v>
      </c>
      <c r="D15" s="31">
        <f>3.141592*H11*H12*10^-2</f>
        <v>157.0796</v>
      </c>
      <c r="E15" s="1" t="s">
        <v>246</v>
      </c>
    </row>
    <row r="16" spans="3:5" s="1" customFormat="1" ht="19.5" customHeight="1">
      <c r="C16" s="1" t="s">
        <v>242</v>
      </c>
      <c r="D16" s="32">
        <f>3.141592*H11*H12</f>
        <v>15707.96</v>
      </c>
      <c r="E16" s="1" t="s">
        <v>247</v>
      </c>
    </row>
    <row r="17" spans="2:5" s="1" customFormat="1" ht="19.5" customHeight="1">
      <c r="B17" s="1" t="s">
        <v>267</v>
      </c>
      <c r="C17" s="1" t="s">
        <v>242</v>
      </c>
      <c r="D17" s="32">
        <f>3.141592*(2*(H11^2+H12^2))^0.5</f>
        <v>496.729309948185</v>
      </c>
      <c r="E17" s="1" t="s">
        <v>243</v>
      </c>
    </row>
    <row r="18" s="1" customFormat="1" ht="19.5" customHeight="1">
      <c r="D18" s="32"/>
    </row>
    <row r="19" spans="1:8" s="1" customFormat="1" ht="19.5" customHeight="1">
      <c r="A19" s="14" t="s">
        <v>248</v>
      </c>
      <c r="D19" s="25"/>
      <c r="H19" s="12"/>
    </row>
    <row r="20" spans="1:8" s="1" customFormat="1" ht="19.5" customHeight="1">
      <c r="A20" s="14"/>
      <c r="D20" s="25"/>
      <c r="H20" s="12"/>
    </row>
    <row r="21" spans="1:9" ht="19.5" customHeight="1">
      <c r="A21" s="21" t="s">
        <v>275</v>
      </c>
      <c r="B21" s="21"/>
      <c r="C21" s="20"/>
      <c r="D21" s="27"/>
      <c r="E21" s="20"/>
      <c r="F21" s="20"/>
      <c r="G21" s="20"/>
      <c r="H21" s="20"/>
      <c r="I21" s="20"/>
    </row>
    <row r="22" spans="1:9" ht="8.25" customHeight="1">
      <c r="A22" s="21"/>
      <c r="B22" s="21"/>
      <c r="C22" s="20"/>
      <c r="D22" s="27"/>
      <c r="E22" s="20"/>
      <c r="F22" s="20"/>
      <c r="G22" s="20"/>
      <c r="H22" s="20"/>
      <c r="I22" s="20"/>
    </row>
    <row r="23" ht="19.5" customHeight="1">
      <c r="B23" s="22" t="s">
        <v>268</v>
      </c>
    </row>
    <row r="24" ht="19.5" customHeight="1">
      <c r="B24" s="38" t="s">
        <v>305</v>
      </c>
    </row>
    <row r="25" ht="19.5" customHeight="1">
      <c r="B25" s="38" t="s">
        <v>306</v>
      </c>
    </row>
    <row r="26" ht="19.5" customHeight="1">
      <c r="B26" s="38" t="s">
        <v>307</v>
      </c>
    </row>
    <row r="27" ht="19.5" customHeight="1">
      <c r="B27" s="23"/>
    </row>
    <row r="28" ht="19.5" customHeight="1">
      <c r="B28" s="1" t="s">
        <v>241</v>
      </c>
    </row>
    <row r="29" spans="2:9" ht="19.5" customHeight="1">
      <c r="B29" s="11" t="s">
        <v>269</v>
      </c>
      <c r="C29" s="11"/>
      <c r="D29" s="25"/>
      <c r="E29" s="25"/>
      <c r="F29" s="25" t="s">
        <v>265</v>
      </c>
      <c r="G29" s="11" t="s">
        <v>242</v>
      </c>
      <c r="H29" s="13">
        <v>100</v>
      </c>
      <c r="I29" s="1" t="s">
        <v>243</v>
      </c>
    </row>
    <row r="30" spans="2:9" ht="19.5" customHeight="1">
      <c r="B30" s="11" t="s">
        <v>269</v>
      </c>
      <c r="C30" s="11"/>
      <c r="D30" s="25"/>
      <c r="E30" s="25"/>
      <c r="F30" s="25" t="s">
        <v>270</v>
      </c>
      <c r="G30" s="11" t="s">
        <v>118</v>
      </c>
      <c r="H30" s="13">
        <v>50</v>
      </c>
      <c r="I30" s="1" t="s">
        <v>243</v>
      </c>
    </row>
    <row r="31" spans="2:9" ht="19.5" customHeight="1">
      <c r="B31" s="11" t="s">
        <v>272</v>
      </c>
      <c r="C31" s="11"/>
      <c r="D31" s="25"/>
      <c r="E31" s="25"/>
      <c r="F31" s="25" t="s">
        <v>273</v>
      </c>
      <c r="G31" s="11" t="s">
        <v>118</v>
      </c>
      <c r="H31" s="13">
        <v>50</v>
      </c>
      <c r="I31" s="1" t="s">
        <v>243</v>
      </c>
    </row>
    <row r="32" spans="1:4" s="1" customFormat="1" ht="8.25" customHeight="1">
      <c r="A32" s="14"/>
      <c r="B32" s="14"/>
      <c r="D32" s="25"/>
    </row>
    <row r="33" spans="2:4" s="1" customFormat="1" ht="19.5" customHeight="1">
      <c r="B33" s="11" t="s">
        <v>218</v>
      </c>
      <c r="C33" s="1" t="s">
        <v>242</v>
      </c>
      <c r="D33" s="136">
        <f>H29/H30</f>
        <v>2</v>
      </c>
    </row>
    <row r="34" spans="2:5" s="1" customFormat="1" ht="19.5" customHeight="1">
      <c r="B34" s="1" t="s">
        <v>271</v>
      </c>
      <c r="C34" s="1" t="s">
        <v>242</v>
      </c>
      <c r="D34" s="32">
        <f>((H29^2-H31^2)^0.5)/D33</f>
        <v>43.30127018922193</v>
      </c>
      <c r="E34" s="1" t="s">
        <v>117</v>
      </c>
    </row>
    <row r="35" spans="1:4" s="1" customFormat="1" ht="8.25" customHeight="1">
      <c r="A35" s="14"/>
      <c r="B35" s="14"/>
      <c r="D35" s="25"/>
    </row>
    <row r="36" spans="2:4" s="1" customFormat="1" ht="19.5" customHeight="1">
      <c r="B36" s="11"/>
      <c r="D36" s="3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  <row r="40" spans="1:8" s="1" customFormat="1" ht="19.5" customHeight="1">
      <c r="A40" s="14"/>
      <c r="D40" s="25"/>
      <c r="H40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I39"/>
  <sheetViews>
    <sheetView showGridLines="0" showRowColHeaders="0" zoomScale="95" zoomScaleNormal="95" zoomScalePageLayoutView="0" workbookViewId="0" topLeftCell="A1">
      <pane ySplit="1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148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163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149</v>
      </c>
    </row>
    <row r="6" ht="19.5" customHeight="1">
      <c r="B6" s="22" t="s">
        <v>150</v>
      </c>
    </row>
    <row r="7" ht="19.5" customHeight="1">
      <c r="B7" s="38" t="s">
        <v>285</v>
      </c>
    </row>
    <row r="8" ht="19.5" customHeight="1">
      <c r="B8" s="38" t="s">
        <v>286</v>
      </c>
    </row>
    <row r="10" ht="19.5" customHeight="1">
      <c r="B10" s="1" t="s">
        <v>151</v>
      </c>
    </row>
    <row r="11" spans="2:9" s="1" customFormat="1" ht="19.5" customHeight="1">
      <c r="B11" s="11" t="s">
        <v>134</v>
      </c>
      <c r="C11" s="11"/>
      <c r="D11" s="25"/>
      <c r="E11" s="25"/>
      <c r="F11" s="25" t="s">
        <v>160</v>
      </c>
      <c r="G11" s="11" t="s">
        <v>153</v>
      </c>
      <c r="H11" s="13">
        <v>200</v>
      </c>
      <c r="I11" s="1" t="s">
        <v>154</v>
      </c>
    </row>
    <row r="12" spans="1:4" s="1" customFormat="1" ht="8.25" customHeight="1">
      <c r="A12" s="14"/>
      <c r="B12" s="14"/>
      <c r="D12" s="25"/>
    </row>
    <row r="13" spans="2:5" s="1" customFormat="1" ht="19.5" customHeight="1">
      <c r="B13" s="11" t="s">
        <v>155</v>
      </c>
      <c r="C13" s="1" t="s">
        <v>153</v>
      </c>
      <c r="D13" s="127">
        <f>H11^3*10^-9</f>
        <v>0.008</v>
      </c>
      <c r="E13" s="1" t="s">
        <v>156</v>
      </c>
    </row>
    <row r="14" spans="2:5" s="1" customFormat="1" ht="19.5" customHeight="1">
      <c r="B14" s="1" t="s">
        <v>157</v>
      </c>
      <c r="C14" s="1" t="s">
        <v>153</v>
      </c>
      <c r="D14" s="127">
        <f>6*H11^2*10^-6</f>
        <v>0.24</v>
      </c>
      <c r="E14" s="1" t="s">
        <v>158</v>
      </c>
    </row>
    <row r="15" spans="1:8" s="1" customFormat="1" ht="19.5" customHeight="1">
      <c r="A15" s="14" t="s">
        <v>159</v>
      </c>
      <c r="D15" s="25"/>
      <c r="H15" s="12"/>
    </row>
    <row r="16" spans="1:8" s="1" customFormat="1" ht="19.5" customHeight="1">
      <c r="A16" s="14"/>
      <c r="D16" s="25"/>
      <c r="H16" s="12"/>
    </row>
    <row r="17" spans="1:9" ht="19.5" customHeight="1">
      <c r="A17" s="21" t="s">
        <v>164</v>
      </c>
      <c r="B17" s="21"/>
      <c r="C17" s="20"/>
      <c r="D17" s="27"/>
      <c r="E17" s="20"/>
      <c r="F17" s="20"/>
      <c r="G17" s="20"/>
      <c r="H17" s="20"/>
      <c r="I17" s="20"/>
    </row>
    <row r="18" spans="1:9" ht="8.25" customHeight="1">
      <c r="A18" s="21"/>
      <c r="B18" s="21"/>
      <c r="C18" s="20"/>
      <c r="D18" s="27"/>
      <c r="E18" s="20"/>
      <c r="F18" s="20"/>
      <c r="G18" s="20"/>
      <c r="H18" s="20"/>
      <c r="I18" s="20"/>
    </row>
    <row r="19" ht="19.5" customHeight="1">
      <c r="B19" s="16" t="s">
        <v>149</v>
      </c>
    </row>
    <row r="20" ht="19.5" customHeight="1">
      <c r="B20" s="16" t="s">
        <v>150</v>
      </c>
    </row>
    <row r="21" ht="19.5" customHeight="1">
      <c r="B21" s="38" t="s">
        <v>165</v>
      </c>
    </row>
    <row r="22" ht="19.5" customHeight="1">
      <c r="B22" s="38" t="s">
        <v>166</v>
      </c>
    </row>
    <row r="24" spans="2:8" ht="19.5" customHeight="1">
      <c r="B24" s="1" t="s">
        <v>151</v>
      </c>
      <c r="H24" s="29"/>
    </row>
    <row r="25" spans="2:9" s="1" customFormat="1" ht="19.5" customHeight="1">
      <c r="B25" s="11" t="s">
        <v>134</v>
      </c>
      <c r="C25" s="11"/>
      <c r="D25" s="25"/>
      <c r="E25" s="25"/>
      <c r="F25" s="25" t="s">
        <v>160</v>
      </c>
      <c r="G25" s="11" t="s">
        <v>153</v>
      </c>
      <c r="H25" s="13">
        <v>200</v>
      </c>
      <c r="I25" s="1" t="s">
        <v>154</v>
      </c>
    </row>
    <row r="26" spans="2:9" s="1" customFormat="1" ht="19.5" customHeight="1">
      <c r="B26" s="11" t="s">
        <v>171</v>
      </c>
      <c r="C26" s="11"/>
      <c r="D26" s="25"/>
      <c r="E26" s="25"/>
      <c r="F26" s="25" t="s">
        <v>161</v>
      </c>
      <c r="G26" s="11" t="s">
        <v>153</v>
      </c>
      <c r="H26" s="28">
        <v>150</v>
      </c>
      <c r="I26" s="1" t="s">
        <v>154</v>
      </c>
    </row>
    <row r="27" spans="2:9" s="1" customFormat="1" ht="19.5" customHeight="1">
      <c r="B27" s="11" t="s">
        <v>172</v>
      </c>
      <c r="C27" s="11"/>
      <c r="D27" s="25"/>
      <c r="E27" s="25"/>
      <c r="F27" s="25" t="s">
        <v>162</v>
      </c>
      <c r="G27" s="11" t="s">
        <v>153</v>
      </c>
      <c r="H27" s="13">
        <v>100</v>
      </c>
      <c r="I27" s="1" t="s">
        <v>154</v>
      </c>
    </row>
    <row r="28" spans="1:4" s="1" customFormat="1" ht="8.25" customHeight="1">
      <c r="A28" s="14"/>
      <c r="B28" s="14"/>
      <c r="D28" s="25"/>
    </row>
    <row r="29" spans="2:5" s="1" customFormat="1" ht="19.5" customHeight="1">
      <c r="B29" s="11" t="s">
        <v>155</v>
      </c>
      <c r="C29" s="1" t="s">
        <v>153</v>
      </c>
      <c r="D29" s="127">
        <f>H25*H26*H27*10^-9</f>
        <v>0.003</v>
      </c>
      <c r="E29" s="1" t="s">
        <v>156</v>
      </c>
    </row>
    <row r="30" spans="2:5" s="1" customFormat="1" ht="19.5" customHeight="1">
      <c r="B30" s="1" t="s">
        <v>157</v>
      </c>
      <c r="C30" s="1" t="s">
        <v>153</v>
      </c>
      <c r="D30" s="127">
        <f>2*(H25*H26+H26*H27+H25*H27)*10^-6</f>
        <v>0.13</v>
      </c>
      <c r="E30" s="1" t="s">
        <v>158</v>
      </c>
    </row>
    <row r="31" spans="1:8" s="1" customFormat="1" ht="19.5" customHeight="1">
      <c r="A31" s="14"/>
      <c r="D31" s="25"/>
      <c r="H31" s="12"/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I39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4.99609375" style="16" customWidth="1"/>
    <col min="10" max="16384" width="8.88671875" style="16" customWidth="1"/>
  </cols>
  <sheetData>
    <row r="1" spans="1:9" ht="19.5" customHeight="1">
      <c r="A1" s="17" t="s">
        <v>148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219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22" t="s">
        <v>149</v>
      </c>
    </row>
    <row r="6" ht="19.5" customHeight="1">
      <c r="B6" s="22" t="s">
        <v>150</v>
      </c>
    </row>
    <row r="7" ht="19.5" customHeight="1">
      <c r="B7" s="38" t="s">
        <v>287</v>
      </c>
    </row>
    <row r="8" ht="19.5" customHeight="1">
      <c r="B8" s="38" t="s">
        <v>288</v>
      </c>
    </row>
    <row r="10" ht="19.5" customHeight="1">
      <c r="B10" s="1" t="s">
        <v>151</v>
      </c>
    </row>
    <row r="11" spans="2:9" s="1" customFormat="1" ht="19.5" customHeight="1">
      <c r="B11" s="11" t="s">
        <v>152</v>
      </c>
      <c r="C11" s="11"/>
      <c r="D11" s="25"/>
      <c r="E11" s="25"/>
      <c r="F11" s="25" t="s">
        <v>129</v>
      </c>
      <c r="G11" s="11" t="s">
        <v>153</v>
      </c>
      <c r="H11" s="13">
        <v>1000</v>
      </c>
      <c r="I11" s="1" t="s">
        <v>154</v>
      </c>
    </row>
    <row r="12" spans="1:4" s="1" customFormat="1" ht="8.25" customHeight="1">
      <c r="A12" s="14"/>
      <c r="B12" s="14"/>
      <c r="D12" s="25"/>
    </row>
    <row r="13" spans="2:5" s="1" customFormat="1" ht="19.5" customHeight="1">
      <c r="B13" s="11" t="s">
        <v>155</v>
      </c>
      <c r="C13" s="1" t="s">
        <v>153</v>
      </c>
      <c r="D13" s="127">
        <f>((3.141592*H11^3)/6)*10^-9</f>
        <v>0.5235986666666668</v>
      </c>
      <c r="E13" s="1" t="s">
        <v>156</v>
      </c>
    </row>
    <row r="14" spans="2:5" s="1" customFormat="1" ht="19.5" customHeight="1">
      <c r="B14" s="1" t="s">
        <v>157</v>
      </c>
      <c r="C14" s="1" t="s">
        <v>153</v>
      </c>
      <c r="D14" s="127">
        <f>(3.141592*H11^2)*10^-6</f>
        <v>3.1415919999999997</v>
      </c>
      <c r="E14" s="1" t="s">
        <v>158</v>
      </c>
    </row>
    <row r="15" spans="1:8" s="1" customFormat="1" ht="19.5" customHeight="1">
      <c r="A15" s="14" t="s">
        <v>159</v>
      </c>
      <c r="D15" s="25"/>
      <c r="H15" s="12"/>
    </row>
    <row r="16" spans="1:8" s="1" customFormat="1" ht="19.5" customHeight="1">
      <c r="A16" s="14"/>
      <c r="D16" s="25"/>
      <c r="H16" s="12"/>
    </row>
    <row r="17" spans="1:9" ht="19.5" customHeight="1">
      <c r="A17" s="21" t="s">
        <v>503</v>
      </c>
      <c r="B17" s="21"/>
      <c r="C17" s="20"/>
      <c r="D17" s="27"/>
      <c r="E17" s="20"/>
      <c r="F17" s="20"/>
      <c r="G17" s="20"/>
      <c r="H17" s="20"/>
      <c r="I17" s="20"/>
    </row>
    <row r="18" spans="1:9" ht="8.25" customHeight="1">
      <c r="A18" s="21"/>
      <c r="B18" s="21"/>
      <c r="C18" s="20"/>
      <c r="D18" s="27"/>
      <c r="E18" s="20"/>
      <c r="F18" s="20"/>
      <c r="G18" s="20"/>
      <c r="H18" s="20"/>
      <c r="I18" s="20"/>
    </row>
    <row r="19" ht="19.5" customHeight="1">
      <c r="B19" s="16" t="s">
        <v>149</v>
      </c>
    </row>
    <row r="20" ht="19.5" customHeight="1">
      <c r="B20" s="16" t="s">
        <v>150</v>
      </c>
    </row>
    <row r="21" ht="19.5" customHeight="1">
      <c r="B21" s="38" t="s">
        <v>289</v>
      </c>
    </row>
    <row r="22" ht="19.5" customHeight="1">
      <c r="B22" s="38" t="s">
        <v>290</v>
      </c>
    </row>
    <row r="24" spans="2:8" ht="19.5" customHeight="1">
      <c r="B24" s="1" t="s">
        <v>151</v>
      </c>
      <c r="H24" s="29"/>
    </row>
    <row r="25" spans="2:9" s="1" customFormat="1" ht="19.5" customHeight="1">
      <c r="B25" s="11" t="s">
        <v>152</v>
      </c>
      <c r="C25" s="11"/>
      <c r="D25" s="25"/>
      <c r="E25" s="25"/>
      <c r="F25" s="25" t="s">
        <v>167</v>
      </c>
      <c r="G25" s="11" t="s">
        <v>153</v>
      </c>
      <c r="H25" s="13">
        <v>200</v>
      </c>
      <c r="I25" s="1" t="s">
        <v>154</v>
      </c>
    </row>
    <row r="26" spans="2:9" s="1" customFormat="1" ht="19.5" customHeight="1">
      <c r="B26" s="11" t="s">
        <v>173</v>
      </c>
      <c r="C26" s="11"/>
      <c r="D26" s="25"/>
      <c r="E26" s="25"/>
      <c r="F26" s="25" t="s">
        <v>168</v>
      </c>
      <c r="G26" s="11" t="s">
        <v>153</v>
      </c>
      <c r="H26" s="28">
        <v>20</v>
      </c>
      <c r="I26" s="1" t="s">
        <v>154</v>
      </c>
    </row>
    <row r="27" spans="2:8" s="1" customFormat="1" ht="19.5" customHeight="1">
      <c r="B27" s="11" t="s">
        <v>174</v>
      </c>
      <c r="C27" s="11"/>
      <c r="D27" s="25"/>
      <c r="E27" s="25"/>
      <c r="F27" s="25" t="s">
        <v>169</v>
      </c>
      <c r="G27" s="11" t="s">
        <v>118</v>
      </c>
      <c r="H27" s="28">
        <v>50</v>
      </c>
    </row>
    <row r="28" spans="2:9" s="1" customFormat="1" ht="19.5" customHeight="1">
      <c r="B28" s="11" t="s">
        <v>175</v>
      </c>
      <c r="C28" s="11"/>
      <c r="D28" s="25"/>
      <c r="E28" s="25"/>
      <c r="F28" s="25" t="s">
        <v>170</v>
      </c>
      <c r="G28" s="11" t="s">
        <v>153</v>
      </c>
      <c r="H28" s="13">
        <v>150</v>
      </c>
      <c r="I28" s="1" t="s">
        <v>154</v>
      </c>
    </row>
    <row r="29" spans="1:4" s="1" customFormat="1" ht="8.25" customHeight="1">
      <c r="A29" s="14"/>
      <c r="B29" s="14"/>
      <c r="D29" s="25"/>
    </row>
    <row r="30" spans="2:5" s="1" customFormat="1" ht="19.5" customHeight="1">
      <c r="B30" s="11" t="s">
        <v>155</v>
      </c>
      <c r="C30" s="1" t="s">
        <v>153</v>
      </c>
      <c r="D30" s="127">
        <f>0.5236*H26*(((3*H27^2)/4)+((3*H28^2)/4)+H26^2)*10^-9</f>
        <v>0.0002005388</v>
      </c>
      <c r="E30" s="1" t="s">
        <v>156</v>
      </c>
    </row>
    <row r="31" spans="2:5" s="1" customFormat="1" ht="19.5" customHeight="1">
      <c r="B31" s="1" t="s">
        <v>157</v>
      </c>
      <c r="C31" s="1" t="s">
        <v>153</v>
      </c>
      <c r="D31" s="127">
        <f>3.141592*H25*H26*10^-6</f>
        <v>0.012566368</v>
      </c>
      <c r="E31" s="1" t="s">
        <v>158</v>
      </c>
    </row>
    <row r="32" spans="1:8" s="1" customFormat="1" ht="19.5" customHeight="1">
      <c r="A32" s="14"/>
      <c r="D32" s="25"/>
      <c r="H32" s="12"/>
    </row>
    <row r="33" spans="1:8" s="1" customFormat="1" ht="19.5" customHeight="1">
      <c r="A33" s="14"/>
      <c r="D33" s="25"/>
      <c r="H33" s="12"/>
    </row>
    <row r="34" spans="1:8" s="1" customFormat="1" ht="19.5" customHeight="1">
      <c r="A34" s="14"/>
      <c r="D34" s="25"/>
      <c r="H34" s="12"/>
    </row>
    <row r="35" spans="1:8" s="1" customFormat="1" ht="19.5" customHeight="1">
      <c r="A35" s="14"/>
      <c r="D35" s="25"/>
      <c r="H35" s="12"/>
    </row>
    <row r="36" spans="1:8" s="1" customFormat="1" ht="19.5" customHeight="1">
      <c r="A36" s="14"/>
      <c r="D36" s="25"/>
      <c r="H36" s="12"/>
    </row>
    <row r="37" spans="1:8" s="1" customFormat="1" ht="19.5" customHeight="1">
      <c r="A37" s="14"/>
      <c r="D37" s="25"/>
      <c r="H37" s="12"/>
    </row>
    <row r="38" spans="1:8" s="1" customFormat="1" ht="19.5" customHeight="1">
      <c r="A38" s="14"/>
      <c r="D38" s="25"/>
      <c r="H38" s="12"/>
    </row>
    <row r="39" spans="1:8" s="1" customFormat="1" ht="19.5" customHeight="1">
      <c r="A39" s="14"/>
      <c r="D39" s="25"/>
      <c r="H39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I35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8.88671875" defaultRowHeight="19.5" customHeight="1"/>
  <cols>
    <col min="1" max="1" width="34.77734375" style="16" customWidth="1"/>
    <col min="2" max="2" width="5.21484375" style="16" customWidth="1"/>
    <col min="3" max="3" width="3.3359375" style="16" customWidth="1"/>
    <col min="4" max="4" width="8.77734375" style="24" customWidth="1"/>
    <col min="5" max="7" width="3.3359375" style="16" customWidth="1"/>
    <col min="8" max="8" width="8.77734375" style="16" customWidth="1"/>
    <col min="9" max="9" width="5.10546875" style="16" customWidth="1"/>
    <col min="10" max="16384" width="8.88671875" style="16" customWidth="1"/>
  </cols>
  <sheetData>
    <row r="1" spans="1:9" ht="19.5" customHeight="1">
      <c r="A1" s="17" t="s">
        <v>135</v>
      </c>
      <c r="B1" s="17"/>
      <c r="C1" s="18"/>
      <c r="D1" s="26"/>
      <c r="E1" s="18"/>
      <c r="F1" s="18"/>
      <c r="G1" s="18"/>
      <c r="H1" s="19"/>
      <c r="I1" s="18"/>
    </row>
    <row r="2" spans="2:9" ht="19.5" customHeight="1">
      <c r="B2" s="21"/>
      <c r="C2" s="20"/>
      <c r="D2" s="27"/>
      <c r="E2" s="20"/>
      <c r="F2" s="20"/>
      <c r="G2" s="20"/>
      <c r="H2" s="20"/>
      <c r="I2" s="20"/>
    </row>
    <row r="3" spans="1:9" ht="19.5" customHeight="1">
      <c r="A3" s="21" t="s">
        <v>126</v>
      </c>
      <c r="B3" s="21"/>
      <c r="C3" s="20"/>
      <c r="D3" s="27"/>
      <c r="E3" s="20"/>
      <c r="F3" s="20"/>
      <c r="G3" s="20"/>
      <c r="H3" s="20"/>
      <c r="I3" s="20"/>
    </row>
    <row r="4" spans="1:9" ht="8.25" customHeight="1">
      <c r="A4" s="21"/>
      <c r="B4" s="21"/>
      <c r="C4" s="20"/>
      <c r="D4" s="27"/>
      <c r="E4" s="20"/>
      <c r="F4" s="20"/>
      <c r="G4" s="20"/>
      <c r="H4" s="20"/>
      <c r="I4" s="20"/>
    </row>
    <row r="5" ht="19.5" customHeight="1">
      <c r="B5" s="16" t="s">
        <v>123</v>
      </c>
    </row>
    <row r="6" ht="19.5" customHeight="1">
      <c r="B6" s="16" t="s">
        <v>124</v>
      </c>
    </row>
    <row r="7" ht="19.5" customHeight="1">
      <c r="B7" s="38" t="s">
        <v>279</v>
      </c>
    </row>
    <row r="8" ht="19.5" customHeight="1">
      <c r="B8" s="38" t="s">
        <v>125</v>
      </c>
    </row>
    <row r="10" ht="19.5" customHeight="1">
      <c r="B10" s="1" t="s">
        <v>607</v>
      </c>
    </row>
    <row r="11" spans="2:9" s="1" customFormat="1" ht="19.5" customHeight="1">
      <c r="B11" s="11" t="s">
        <v>47</v>
      </c>
      <c r="C11" s="11"/>
      <c r="D11" s="25"/>
      <c r="E11" s="25"/>
      <c r="F11" s="25" t="s">
        <v>48</v>
      </c>
      <c r="G11" s="11" t="s">
        <v>610</v>
      </c>
      <c r="H11" s="28">
        <v>114.3</v>
      </c>
      <c r="I11" s="1" t="s">
        <v>49</v>
      </c>
    </row>
    <row r="12" spans="2:9" s="1" customFormat="1" ht="19.5" customHeight="1">
      <c r="B12" s="11" t="s">
        <v>50</v>
      </c>
      <c r="C12" s="11"/>
      <c r="D12" s="25"/>
      <c r="E12" s="25"/>
      <c r="F12" s="25" t="s">
        <v>51</v>
      </c>
      <c r="G12" s="11" t="s">
        <v>610</v>
      </c>
      <c r="H12" s="28">
        <v>6</v>
      </c>
      <c r="I12" s="1" t="s">
        <v>49</v>
      </c>
    </row>
    <row r="13" spans="2:9" s="1" customFormat="1" ht="19.5" customHeight="1">
      <c r="B13" s="11" t="s">
        <v>52</v>
      </c>
      <c r="C13" s="11"/>
      <c r="D13" s="25"/>
      <c r="E13" s="25"/>
      <c r="F13" s="25" t="s">
        <v>53</v>
      </c>
      <c r="G13" s="11" t="s">
        <v>610</v>
      </c>
      <c r="H13" s="30">
        <f>H11-2*H12</f>
        <v>102.3</v>
      </c>
      <c r="I13" s="1" t="s">
        <v>49</v>
      </c>
    </row>
    <row r="14" spans="2:9" s="1" customFormat="1" ht="19.5" customHeight="1">
      <c r="B14" s="11" t="s">
        <v>54</v>
      </c>
      <c r="C14" s="11"/>
      <c r="D14" s="25"/>
      <c r="E14" s="25"/>
      <c r="F14" s="25" t="s">
        <v>55</v>
      </c>
      <c r="G14" s="11" t="s">
        <v>610</v>
      </c>
      <c r="H14" s="28">
        <v>2000</v>
      </c>
      <c r="I14" s="1" t="s">
        <v>49</v>
      </c>
    </row>
    <row r="15" spans="1:4" s="1" customFormat="1" ht="8.25" customHeight="1">
      <c r="A15" s="14"/>
      <c r="B15" s="14"/>
      <c r="D15" s="25"/>
    </row>
    <row r="16" spans="2:5" s="1" customFormat="1" ht="19.5" customHeight="1">
      <c r="B16" s="11" t="s">
        <v>56</v>
      </c>
      <c r="C16" s="1" t="s">
        <v>610</v>
      </c>
      <c r="D16" s="136">
        <f>3.141592*H13^2*H14*10^-9/4</f>
        <v>0.01643883567084</v>
      </c>
      <c r="E16" s="1" t="s">
        <v>57</v>
      </c>
    </row>
    <row r="17" spans="2:5" s="1" customFormat="1" ht="19.5" customHeight="1">
      <c r="B17" s="1" t="s">
        <v>58</v>
      </c>
      <c r="C17" s="1" t="s">
        <v>610</v>
      </c>
      <c r="D17" s="136">
        <f>3.141592*H11*H14*10^-6</f>
        <v>0.7181679312</v>
      </c>
      <c r="E17" s="1" t="s">
        <v>59</v>
      </c>
    </row>
    <row r="18" spans="1:8" s="1" customFormat="1" ht="19.5" customHeight="1">
      <c r="A18" s="14" t="s">
        <v>147</v>
      </c>
      <c r="D18" s="25"/>
      <c r="H18" s="12"/>
    </row>
    <row r="19" spans="1:8" s="1" customFormat="1" ht="19.5" customHeight="1">
      <c r="A19" s="14"/>
      <c r="D19" s="25"/>
      <c r="H19" s="12"/>
    </row>
    <row r="20" spans="1:9" ht="19.5" customHeight="1">
      <c r="A20" s="21" t="s">
        <v>142</v>
      </c>
      <c r="B20" s="21"/>
      <c r="C20" s="20"/>
      <c r="D20" s="27"/>
      <c r="E20" s="20"/>
      <c r="F20" s="20"/>
      <c r="G20" s="20"/>
      <c r="H20" s="20"/>
      <c r="I20" s="20"/>
    </row>
    <row r="21" spans="1:9" ht="8.25" customHeight="1">
      <c r="A21" s="21"/>
      <c r="B21" s="21"/>
      <c r="C21" s="20"/>
      <c r="D21" s="27"/>
      <c r="E21" s="20"/>
      <c r="F21" s="20"/>
      <c r="G21" s="20"/>
      <c r="H21" s="20"/>
      <c r="I21" s="20"/>
    </row>
    <row r="22" ht="19.5" customHeight="1">
      <c r="B22" s="16" t="s">
        <v>60</v>
      </c>
    </row>
    <row r="23" ht="19.5" customHeight="1">
      <c r="B23" s="16" t="s">
        <v>61</v>
      </c>
    </row>
    <row r="24" ht="19.5" customHeight="1">
      <c r="B24" s="38" t="s">
        <v>62</v>
      </c>
    </row>
    <row r="25" ht="19.5" customHeight="1">
      <c r="B25" s="38" t="s">
        <v>63</v>
      </c>
    </row>
    <row r="27" spans="2:8" ht="19.5" customHeight="1">
      <c r="B27" s="1" t="s">
        <v>607</v>
      </c>
      <c r="H27" s="29"/>
    </row>
    <row r="28" spans="2:9" s="1" customFormat="1" ht="19.5" customHeight="1">
      <c r="B28" s="11" t="s">
        <v>47</v>
      </c>
      <c r="C28" s="11"/>
      <c r="D28" s="25"/>
      <c r="E28" s="25"/>
      <c r="F28" s="25" t="s">
        <v>48</v>
      </c>
      <c r="G28" s="11" t="s">
        <v>610</v>
      </c>
      <c r="H28" s="13">
        <v>114.3</v>
      </c>
      <c r="I28" s="1" t="s">
        <v>49</v>
      </c>
    </row>
    <row r="29" spans="2:9" s="1" customFormat="1" ht="19.5" customHeight="1">
      <c r="B29" s="11" t="s">
        <v>50</v>
      </c>
      <c r="C29" s="11"/>
      <c r="D29" s="25"/>
      <c r="E29" s="25"/>
      <c r="F29" s="25" t="s">
        <v>51</v>
      </c>
      <c r="G29" s="11" t="s">
        <v>610</v>
      </c>
      <c r="H29" s="28">
        <v>6</v>
      </c>
      <c r="I29" s="1" t="s">
        <v>49</v>
      </c>
    </row>
    <row r="30" spans="2:9" s="1" customFormat="1" ht="19.5" customHeight="1">
      <c r="B30" s="11" t="s">
        <v>52</v>
      </c>
      <c r="C30" s="11"/>
      <c r="D30" s="25"/>
      <c r="E30" s="25"/>
      <c r="F30" s="25" t="s">
        <v>53</v>
      </c>
      <c r="G30" s="11" t="s">
        <v>610</v>
      </c>
      <c r="H30" s="30">
        <f>H28-2*H29</f>
        <v>102.3</v>
      </c>
      <c r="I30" s="1" t="s">
        <v>49</v>
      </c>
    </row>
    <row r="31" spans="2:9" s="1" customFormat="1" ht="19.5" customHeight="1">
      <c r="B31" s="11" t="s">
        <v>54</v>
      </c>
      <c r="C31" s="11"/>
      <c r="D31" s="25"/>
      <c r="E31" s="25"/>
      <c r="F31" s="25" t="s">
        <v>64</v>
      </c>
      <c r="G31" s="11" t="s">
        <v>610</v>
      </c>
      <c r="H31" s="13">
        <v>152.4</v>
      </c>
      <c r="I31" s="1" t="s">
        <v>49</v>
      </c>
    </row>
    <row r="32" spans="1:4" s="1" customFormat="1" ht="8.25" customHeight="1">
      <c r="A32" s="14"/>
      <c r="B32" s="14"/>
      <c r="D32" s="25"/>
    </row>
    <row r="33" spans="2:5" s="1" customFormat="1" ht="19.5" customHeight="1">
      <c r="B33" s="11" t="s">
        <v>56</v>
      </c>
      <c r="C33" s="1" t="s">
        <v>610</v>
      </c>
      <c r="D33" s="136">
        <f>19.739*H31*H30^2*10^-9/16</f>
        <v>0.00196762077242775</v>
      </c>
      <c r="E33" s="1" t="s">
        <v>57</v>
      </c>
    </row>
    <row r="34" spans="2:5" s="1" customFormat="1" ht="19.5" customHeight="1">
      <c r="B34" s="1" t="s">
        <v>58</v>
      </c>
      <c r="C34" s="1" t="s">
        <v>610</v>
      </c>
      <c r="D34" s="136">
        <f>39.478*H31*H28*10^-6/8</f>
        <v>0.08595998937</v>
      </c>
      <c r="E34" s="1" t="s">
        <v>59</v>
      </c>
    </row>
    <row r="35" spans="1:8" s="1" customFormat="1" ht="19.5" customHeight="1">
      <c r="A35" s="14"/>
      <c r="D35" s="25"/>
      <c r="H35" s="12"/>
    </row>
  </sheetData>
  <sheetProtection/>
  <printOptions/>
  <pageMargins left="0.9" right="0.36" top="0.6692913385826772" bottom="0.36" header="0.8661417322834646" footer="0.4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각종 계산프로그램</dc:title>
  <dc:subject/>
  <dc:creator>이 채득</dc:creator>
  <cp:keywords/>
  <dc:description/>
  <cp:lastModifiedBy>sec</cp:lastModifiedBy>
  <cp:lastPrinted>2002-11-07T07:40:30Z</cp:lastPrinted>
  <dcterms:created xsi:type="dcterms:W3CDTF">1997-11-27T05:27:39Z</dcterms:created>
  <dcterms:modified xsi:type="dcterms:W3CDTF">2009-09-30T08:02:24Z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기록자">
    <vt:lpwstr>이채득</vt:lpwstr>
  </property>
  <property fmtid="{D5CDD505-2E9C-101B-9397-08002B2CF9AE}" pid="3" name="문서 번호">
    <vt:lpwstr>PGR120</vt:lpwstr>
  </property>
</Properties>
</file>